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8190" windowHeight="10485" tabRatio="859" activeTab="2"/>
  </bookViews>
  <sheets>
    <sheet name="lista" sheetId="1" r:id="rId1"/>
    <sheet name="turniej" sheetId="2" r:id="rId2"/>
    <sheet name="klasyfikacja" sheetId="3" r:id="rId3"/>
  </sheets>
  <definedNames>
    <definedName name="_xlnm.Print_Area" localSheetId="2">'klasyfikacja'!$A$1:$E$73</definedName>
    <definedName name="_xlnm.Print_Area" localSheetId="0">'lista'!$A$1:$E$73</definedName>
    <definedName name="_xlnm.Print_Area" localSheetId="1">'turniej'!$Z$1:$AO$140</definedName>
  </definedNames>
  <calcPr fullCalcOnLoad="1"/>
</workbook>
</file>

<file path=xl/sharedStrings.xml><?xml version="1.0" encoding="utf-8"?>
<sst xmlns="http://schemas.openxmlformats.org/spreadsheetml/2006/main" count="450" uniqueCount="245">
  <si>
    <t>A</t>
  </si>
  <si>
    <t>B</t>
  </si>
  <si>
    <t>finał</t>
  </si>
  <si>
    <t>2.</t>
  </si>
  <si>
    <t>1.</t>
  </si>
  <si>
    <t>nazwisko i imię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</si>
  <si>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</si>
  <si>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</si>
  <si>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</si>
  <si>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</si>
  <si>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</si>
  <si>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</si>
  <si>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</si>
  <si>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</si>
  <si>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</si>
  <si>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</si>
  <si>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</si>
  <si>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</si>
  <si>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</si>
  <si>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</si>
  <si>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</si>
  <si>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</si>
  <si>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</si>
  <si>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</si>
  <si>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</si>
  <si>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</si>
  <si>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</si>
  <si>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</si>
  <si>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</si>
  <si>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</si>
  <si>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</si>
  <si>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</si>
  <si>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</si>
  <si>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</si>
  <si>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</si>
  <si>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</si>
  <si>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</si>
  <si>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miejsce</t>
  </si>
  <si>
    <t>punkty</t>
  </si>
  <si>
    <t>klasyfikacja końcowa</t>
  </si>
  <si>
    <t>lista startowa</t>
  </si>
  <si>
    <t>klub sportowy</t>
  </si>
  <si>
    <t>1 miejsce</t>
  </si>
  <si>
    <t>4 miejsce</t>
  </si>
  <si>
    <t>3 miejsce</t>
  </si>
  <si>
    <t>zwycięzca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</si>
  <si>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</si>
  <si>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</si>
  <si>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</si>
  <si>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</si>
  <si>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</si>
  <si>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</si>
  <si>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</si>
  <si>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</si>
  <si>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</si>
  <si>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</si>
  <si>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</si>
  <si>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</si>
  <si>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</si>
  <si>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</si>
  <si>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</si>
  <si>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</si>
  <si>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</si>
  <si>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</si>
  <si>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</si>
  <si>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</si>
  <si>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</si>
  <si>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</si>
  <si>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</si>
  <si>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</si>
  <si>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</si>
  <si>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</si>
  <si>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</si>
  <si>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</si>
  <si>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</si>
  <si>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</si>
  <si>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</si>
  <si>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</si>
  <si>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2 miejsce</t>
  </si>
  <si>
    <t>1/8 finału</t>
  </si>
  <si>
    <t>1/16 finału</t>
  </si>
  <si>
    <t>1/32 finału</t>
  </si>
  <si>
    <t>1/4 finału</t>
  </si>
  <si>
    <t>1/2 finału</t>
  </si>
  <si>
    <t>a</t>
  </si>
  <si>
    <t>b</t>
  </si>
  <si>
    <t>L</t>
  </si>
  <si>
    <t>H</t>
  </si>
  <si>
    <t>G</t>
  </si>
  <si>
    <t>M</t>
  </si>
  <si>
    <t>F</t>
  </si>
  <si>
    <t>miejsce 5</t>
  </si>
  <si>
    <t>E</t>
  </si>
  <si>
    <t>J</t>
  </si>
  <si>
    <t>D</t>
  </si>
  <si>
    <t>C</t>
  </si>
  <si>
    <t>K</t>
  </si>
  <si>
    <t>I</t>
  </si>
  <si>
    <t>N</t>
  </si>
  <si>
    <t>O</t>
  </si>
  <si>
    <t>P</t>
  </si>
  <si>
    <t>R</t>
  </si>
  <si>
    <t>S</t>
  </si>
  <si>
    <t>T</t>
  </si>
  <si>
    <t>U</t>
  </si>
  <si>
    <t>W</t>
  </si>
  <si>
    <t>X</t>
  </si>
  <si>
    <t>Y</t>
  </si>
  <si>
    <t>Z</t>
  </si>
  <si>
    <t>II</t>
  </si>
  <si>
    <t>III</t>
  </si>
  <si>
    <t>IV</t>
  </si>
  <si>
    <t>miejsce 6</t>
  </si>
  <si>
    <t>miejsce 7-8</t>
  </si>
  <si>
    <t>miejsce 9-12</t>
  </si>
  <si>
    <t>miejsce 13-16</t>
  </si>
  <si>
    <t>miejsce 17-24</t>
  </si>
  <si>
    <t>miejsce 25-32</t>
  </si>
  <si>
    <t>miejsce 33-48</t>
  </si>
  <si>
    <t>miejsce 49-64</t>
  </si>
  <si>
    <t>5</t>
  </si>
  <si>
    <t>6</t>
  </si>
  <si>
    <t>9-12</t>
  </si>
  <si>
    <t>13-16</t>
  </si>
  <si>
    <t>25-32</t>
  </si>
  <si>
    <t>17-24</t>
  </si>
  <si>
    <t>4</t>
  </si>
  <si>
    <t>3</t>
  </si>
  <si>
    <t>2</t>
  </si>
  <si>
    <t>1</t>
  </si>
  <si>
    <t>33-48</t>
  </si>
  <si>
    <t>III WTK MŁODZICZEK i MŁODZIKÓW WOJEWÓDZTWA MAŁOPOLSKIEGO - ZAKLICZYN  - 6.03.2011r.</t>
  </si>
  <si>
    <t>pkt. rank.</t>
  </si>
  <si>
    <t>BŁĘDY ROZSTAWIENIA!!!</t>
  </si>
  <si>
    <t>wstępna lista startowa</t>
  </si>
  <si>
    <t>pkt.rank.</t>
  </si>
  <si>
    <t>miejsce 11-12</t>
  </si>
  <si>
    <t>miejsce 9-10</t>
  </si>
  <si>
    <t>miejsce 15-16</t>
  </si>
  <si>
    <t>miejsce 13-14</t>
  </si>
  <si>
    <t>miejsce 21-24</t>
  </si>
  <si>
    <t>miejsce 17-20</t>
  </si>
  <si>
    <t>miejsce 29-32</t>
  </si>
  <si>
    <t>miejsce 25-28</t>
  </si>
  <si>
    <t>MŁODZICY</t>
  </si>
  <si>
    <t>miejsce 49-56</t>
  </si>
  <si>
    <t>miejsce 57-64</t>
  </si>
  <si>
    <t>OPIS</t>
  </si>
  <si>
    <t>ZAKAZ  ZMIANY WARTOŚCI POLA</t>
  </si>
  <si>
    <t>MICHALCZYK Jakub</t>
  </si>
  <si>
    <t>UKS PŁOMIEŃ</t>
  </si>
  <si>
    <t>LIMANOWA</t>
  </si>
  <si>
    <t>WĘGRZYN Łukasz</t>
  </si>
  <si>
    <t>KS SPEKTRUM</t>
  </si>
  <si>
    <t>SŁOPNICE</t>
  </si>
  <si>
    <t>OSTANEK Michał</t>
  </si>
  <si>
    <t>MKS "SKAWA"</t>
  </si>
  <si>
    <t>WADOWICE</t>
  </si>
  <si>
    <t>LIS Daniel</t>
  </si>
  <si>
    <t>UKS</t>
  </si>
  <si>
    <t>OLESNO</t>
  </si>
  <si>
    <t>PIÓRO Eryk</t>
  </si>
  <si>
    <t>MKS TARNOVIA</t>
  </si>
  <si>
    <t>TARNÓW</t>
  </si>
  <si>
    <t>PETKA Krzysztof</t>
  </si>
  <si>
    <t>OSKIR PODWAWELSKI</t>
  </si>
  <si>
    <t>KRAKÓW</t>
  </si>
  <si>
    <t>KAIM Szymon</t>
  </si>
  <si>
    <t>BIL Maksymilian</t>
  </si>
  <si>
    <t>UKS "SOKÓŁ"</t>
  </si>
  <si>
    <t>ŻABNO</t>
  </si>
  <si>
    <t>PAJĄK Dawid</t>
  </si>
  <si>
    <t>TATARCZUCH Rafał</t>
  </si>
  <si>
    <t>CHOLEWA Dariusz</t>
  </si>
  <si>
    <t>SUŁKOWSKI Kacper</t>
  </si>
  <si>
    <t>GALUS Mateusz</t>
  </si>
  <si>
    <t>LUKS "SKRZYSZÓW"</t>
  </si>
  <si>
    <t>SKRZYSZÓW</t>
  </si>
  <si>
    <t>BUDZIK Oskar</t>
  </si>
  <si>
    <t>MOREK Radosław</t>
  </si>
  <si>
    <t>PODSIADŁO Dominik</t>
  </si>
  <si>
    <t>MKS KSOS</t>
  </si>
  <si>
    <t>PIETRZAK Antoni</t>
  </si>
  <si>
    <t>KS GORCE</t>
  </si>
  <si>
    <t>NOWY TARG</t>
  </si>
  <si>
    <t>PAWLUSIAK Jakub</t>
  </si>
  <si>
    <t>UKS POLFIN</t>
  </si>
  <si>
    <t>OŚWIĘCIM</t>
  </si>
  <si>
    <t>PAWŁOWSKI Kamil</t>
  </si>
  <si>
    <t>ZAKRZYŃSKI Domink</t>
  </si>
  <si>
    <t>UKS ZARABIE</t>
  </si>
  <si>
    <t>MYŚLENICE</t>
  </si>
  <si>
    <t>PNIACZEK Dominik</t>
  </si>
  <si>
    <t>ULKS "LACHOWICE"</t>
  </si>
  <si>
    <t>LACHOWICE</t>
  </si>
  <si>
    <t>MORAWIEC Mateusz</t>
  </si>
  <si>
    <t>KUCHARSKI Maciej</t>
  </si>
  <si>
    <t>KS BRONOWIANKA</t>
  </si>
  <si>
    <t>OLESIAK Grzegorz</t>
  </si>
  <si>
    <t>JARZĄBEK Szymon</t>
  </si>
  <si>
    <t>ROZUM Dawid</t>
  </si>
  <si>
    <t>FURTAK Adam</t>
  </si>
  <si>
    <t>GROMADA Arkadiusz</t>
  </si>
  <si>
    <t>ROSIEK Tomasz</t>
  </si>
  <si>
    <t>TALAGA Samuel</t>
  </si>
  <si>
    <t>DZIADEK Dominik</t>
  </si>
  <si>
    <t>KOSMAL Dawid</t>
  </si>
  <si>
    <t>KAIM Michał</t>
  </si>
  <si>
    <t>WOLANIN Grzegorz</t>
  </si>
  <si>
    <t>UKS MAGNUM</t>
  </si>
  <si>
    <t>KOŹMICE WIELKIE</t>
  </si>
  <si>
    <t>BURY Mateusz</t>
  </si>
  <si>
    <t>CHMIELAK Piotr</t>
  </si>
  <si>
    <t>DANAJ Dawid</t>
  </si>
  <si>
    <t>UKS "ROKICIE"</t>
  </si>
  <si>
    <t>SZCZYTNIKI</t>
  </si>
  <si>
    <t>KUTAJ Maksymilian</t>
  </si>
  <si>
    <t>LECH Sylwester</t>
  </si>
  <si>
    <t>SUŁKOWSKI Bartosz</t>
  </si>
  <si>
    <t>KOŁOS Arkadiusz</t>
  </si>
  <si>
    <t>GĄDEK Mateusz</t>
  </si>
  <si>
    <t>LUKS "SOBOLIK"</t>
  </si>
  <si>
    <t>SOBOLÓW</t>
  </si>
  <si>
    <t>STANKIEWICZ Tomasz</t>
  </si>
  <si>
    <t>KUCZEK Karol</t>
  </si>
  <si>
    <t>SKOP Maciej</t>
  </si>
  <si>
    <t>CKIS</t>
  </si>
  <si>
    <t>SKAWINA</t>
  </si>
  <si>
    <t>CIUREJ Radosław</t>
  </si>
  <si>
    <t>MRÓZEK Mateusz</t>
  </si>
  <si>
    <t>Kupiec Andrzej</t>
  </si>
  <si>
    <t>OKOŃSKI Piotr</t>
  </si>
  <si>
    <t>UKS GULON</t>
  </si>
  <si>
    <t>STEFANIAK Paweł</t>
  </si>
  <si>
    <t>UKS LEPIETNICA</t>
  </si>
  <si>
    <t>Klikuszowa</t>
  </si>
  <si>
    <t>RYPEL Mikołaj</t>
  </si>
  <si>
    <t>RYPEL Sebastian</t>
  </si>
  <si>
    <t>liczba startujących - 52</t>
  </si>
  <si>
    <t>miejsce 7</t>
  </si>
  <si>
    <t>miejsce 8</t>
  </si>
  <si>
    <t>51-52</t>
  </si>
  <si>
    <t>49-50</t>
  </si>
  <si>
    <t>7</t>
  </si>
  <si>
    <t>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</si>
</sst>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84">
    <font>
      <sz val="10"/>
      <name val="Arial"/>
      <family val="0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alibri"/>
      <family val="2"/>
    </font>
    <font>
      <sz val="8"/>
      <name val="Arial"/>
      <family val="0"/>
    </font>
    <font>
      <b/>
      <i/>
      <sz val="16"/>
      <color indexed="63"/>
      <name val="Calibri"/>
      <family val="2"/>
    </font>
    <font>
      <sz val="13"/>
      <name val="Calibri"/>
      <family val="2"/>
    </font>
    <font>
      <b/>
      <i/>
      <sz val="13"/>
      <name val="Calibri"/>
      <family val="2"/>
    </font>
    <font>
      <b/>
      <sz val="13"/>
      <color indexed="20"/>
      <name val="Calibri"/>
      <family val="2"/>
    </font>
    <font>
      <b/>
      <sz val="13"/>
      <name val="Calibri"/>
      <family val="2"/>
    </font>
    <font>
      <b/>
      <i/>
      <sz val="14"/>
      <color indexed="63"/>
      <name val="Calibri"/>
      <family val="2"/>
    </font>
    <font>
      <b/>
      <i/>
      <sz val="2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b/>
      <i/>
      <sz val="12"/>
      <color indexed="63"/>
      <name val="Calibri"/>
      <family val="2"/>
    </font>
    <font>
      <b/>
      <i/>
      <sz val="12"/>
      <color indexed="9"/>
      <name val="Calibri"/>
      <family val="2"/>
    </font>
    <font>
      <sz val="10"/>
      <color indexed="22"/>
      <name val="Calibri"/>
      <family val="2"/>
    </font>
    <font>
      <b/>
      <i/>
      <sz val="13"/>
      <color indexed="63"/>
      <name val="Calibri"/>
      <family val="2"/>
    </font>
    <font>
      <b/>
      <i/>
      <sz val="16"/>
      <color indexed="22"/>
      <name val="Calibri"/>
      <family val="2"/>
    </font>
    <font>
      <b/>
      <sz val="13"/>
      <color indexed="22"/>
      <name val="Calibri"/>
      <family val="2"/>
    </font>
    <font>
      <sz val="13"/>
      <color indexed="22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i/>
      <sz val="12"/>
      <name val="Calibri"/>
      <family val="2"/>
    </font>
    <font>
      <b/>
      <sz val="23"/>
      <color indexed="18"/>
      <name val="Calibri"/>
      <family val="2"/>
    </font>
    <font>
      <i/>
      <sz val="18"/>
      <name val="Calibri"/>
      <family val="2"/>
    </font>
    <font>
      <b/>
      <i/>
      <sz val="18"/>
      <name val="Calibri"/>
      <family val="2"/>
    </font>
    <font>
      <sz val="18"/>
      <name val="Calibri"/>
      <family val="2"/>
    </font>
    <font>
      <b/>
      <i/>
      <sz val="18"/>
      <color indexed="63"/>
      <name val="Calibri"/>
      <family val="2"/>
    </font>
    <font>
      <i/>
      <sz val="14"/>
      <name val="Calibri"/>
      <family val="2"/>
    </font>
    <font>
      <i/>
      <sz val="13"/>
      <name val="Calibri"/>
      <family val="0"/>
    </font>
    <font>
      <b/>
      <sz val="10"/>
      <name val="Calibri"/>
      <family val="0"/>
    </font>
    <font>
      <b/>
      <i/>
      <sz val="14"/>
      <name val="Calibri"/>
      <family val="0"/>
    </font>
    <font>
      <b/>
      <sz val="16"/>
      <name val="Calibri"/>
      <family val="2"/>
    </font>
    <font>
      <b/>
      <sz val="12"/>
      <name val="Calibri"/>
      <family val="2"/>
    </font>
    <font>
      <sz val="14"/>
      <color indexed="22"/>
      <name val="Calibri"/>
      <family val="2"/>
    </font>
    <font>
      <b/>
      <sz val="16"/>
      <color indexed="18"/>
      <name val="Calibri"/>
      <family val="2"/>
    </font>
    <font>
      <b/>
      <sz val="12"/>
      <color indexed="1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i/>
      <sz val="9"/>
      <color indexed="9"/>
      <name val="Calibri"/>
      <family val="2"/>
    </font>
    <font>
      <i/>
      <sz val="9"/>
      <name val="Calibri"/>
      <family val="2"/>
    </font>
    <font>
      <b/>
      <u val="single"/>
      <sz val="10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b/>
      <i/>
      <sz val="20"/>
      <name val="Calibri"/>
      <family val="2"/>
    </font>
    <font>
      <b/>
      <i/>
      <sz val="18"/>
      <color indexed="9"/>
      <name val="Calibri"/>
      <family val="2"/>
    </font>
    <font>
      <b/>
      <sz val="8"/>
      <name val="Courier New"/>
      <family val="3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8" fillId="33" borderId="0" xfId="0" applyNumberFormat="1" applyFont="1" applyFill="1" applyBorder="1" applyAlignment="1" applyProtection="1">
      <alignment horizontal="left" vertical="center"/>
      <protection locked="0"/>
    </xf>
    <xf numFmtId="0" fontId="14" fillId="33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right" vertical="center"/>
      <protection locked="0"/>
    </xf>
    <xf numFmtId="0" fontId="7" fillId="33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NumberFormat="1" applyFont="1" applyAlignment="1" applyProtection="1">
      <alignment horizontal="right" vertical="center"/>
      <protection locked="0"/>
    </xf>
    <xf numFmtId="0" fontId="7" fillId="33" borderId="13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2" fillId="33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33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1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/>
      <protection hidden="1"/>
    </xf>
    <xf numFmtId="0" fontId="23" fillId="0" borderId="0" xfId="0" applyNumberFormat="1" applyFont="1" applyAlignment="1" applyProtection="1">
      <alignment/>
      <protection hidden="1"/>
    </xf>
    <xf numFmtId="0" fontId="23" fillId="0" borderId="0" xfId="0" applyNumberFormat="1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NumberFormat="1" applyFont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24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NumberFormat="1" applyFont="1" applyFill="1" applyBorder="1" applyAlignment="1" applyProtection="1">
      <alignment horizontal="left" vertical="center"/>
      <protection hidden="1"/>
    </xf>
    <xf numFmtId="0" fontId="29" fillId="0" borderId="0" xfId="0" applyNumberFormat="1" applyFont="1" applyAlignment="1">
      <alignment/>
    </xf>
    <xf numFmtId="49" fontId="29" fillId="0" borderId="0" xfId="0" applyNumberFormat="1" applyFont="1" applyAlignment="1">
      <alignment horizontal="right"/>
    </xf>
    <xf numFmtId="0" fontId="29" fillId="0" borderId="0" xfId="0" applyNumberFormat="1" applyFont="1" applyAlignment="1">
      <alignment/>
    </xf>
    <xf numFmtId="0" fontId="30" fillId="0" borderId="0" xfId="0" applyNumberFormat="1" applyFont="1" applyFill="1" applyBorder="1" applyAlignment="1">
      <alignment vertical="center"/>
    </xf>
    <xf numFmtId="49" fontId="28" fillId="34" borderId="15" xfId="0" applyNumberFormat="1" applyFont="1" applyFill="1" applyBorder="1" applyAlignment="1">
      <alignment horizontal="right" vertical="center"/>
    </xf>
    <xf numFmtId="0" fontId="28" fillId="34" borderId="16" xfId="0" applyNumberFormat="1" applyFont="1" applyFill="1" applyBorder="1" applyAlignment="1">
      <alignment horizontal="center" vertical="center"/>
    </xf>
    <xf numFmtId="0" fontId="28" fillId="34" borderId="17" xfId="0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 applyProtection="1">
      <alignment horizontal="right" vertical="center"/>
      <protection locked="0"/>
    </xf>
    <xf numFmtId="0" fontId="7" fillId="0" borderId="12" xfId="0" applyNumberFormat="1" applyFont="1" applyBorder="1" applyAlignment="1" applyProtection="1">
      <alignment horizontal="left" vertical="center"/>
      <protection locked="0"/>
    </xf>
    <xf numFmtId="0" fontId="25" fillId="0" borderId="0" xfId="0" applyNumberFormat="1" applyFont="1" applyAlignment="1" applyProtection="1">
      <alignment horizontal="right" vertical="center"/>
      <protection hidden="1"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0" fontId="31" fillId="0" borderId="0" xfId="0" applyNumberFormat="1" applyFont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NumberFormat="1" applyFont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/>
      <protection locked="0"/>
    </xf>
    <xf numFmtId="0" fontId="1" fillId="34" borderId="16" xfId="0" applyNumberFormat="1" applyFont="1" applyFill="1" applyBorder="1" applyAlignment="1" applyProtection="1">
      <alignment/>
      <protection locked="0"/>
    </xf>
    <xf numFmtId="0" fontId="31" fillId="34" borderId="10" xfId="0" applyNumberFormat="1" applyFont="1" applyFill="1" applyBorder="1" applyAlignment="1" applyProtection="1">
      <alignment horizontal="center"/>
      <protection locked="0"/>
    </xf>
    <xf numFmtId="0" fontId="15" fillId="35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15" fillId="35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left" vertical="center"/>
      <protection locked="0"/>
    </xf>
    <xf numFmtId="0" fontId="13" fillId="0" borderId="20" xfId="0" applyNumberFormat="1" applyFont="1" applyBorder="1" applyAlignment="1" applyProtection="1">
      <alignment horizontal="right" vertical="center"/>
      <protection locked="0"/>
    </xf>
    <xf numFmtId="0" fontId="22" fillId="33" borderId="14" xfId="0" applyNumberFormat="1" applyFont="1" applyFill="1" applyBorder="1" applyAlignment="1" applyProtection="1">
      <alignment horizontal="right" vertical="center"/>
      <protection locked="0"/>
    </xf>
    <xf numFmtId="0" fontId="7" fillId="33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7" fillId="33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18" fillId="33" borderId="14" xfId="0" applyNumberFormat="1" applyFont="1" applyFill="1" applyBorder="1" applyAlignment="1" applyProtection="1">
      <alignment horizontal="center" vertical="center"/>
      <protection locked="0"/>
    </xf>
    <xf numFmtId="0" fontId="22" fillId="33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NumberFormat="1" applyFont="1" applyBorder="1" applyAlignment="1" applyProtection="1">
      <alignment horizontal="right" vertical="center"/>
      <protection locked="0"/>
    </xf>
    <xf numFmtId="0" fontId="21" fillId="0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NumberFormat="1" applyFont="1" applyFill="1" applyBorder="1" applyAlignment="1" applyProtection="1">
      <alignment horizontal="left" vertical="center"/>
      <protection locked="0"/>
    </xf>
    <xf numFmtId="0" fontId="22" fillId="33" borderId="13" xfId="0" applyNumberFormat="1" applyFont="1" applyFill="1" applyBorder="1" applyAlignment="1" applyProtection="1">
      <alignment horizontal="right" vertical="center"/>
      <protection locked="0"/>
    </xf>
    <xf numFmtId="0" fontId="22" fillId="36" borderId="0" xfId="0" applyNumberFormat="1" applyFont="1" applyFill="1" applyAlignment="1" applyProtection="1">
      <alignment horizontal="right" vertical="center"/>
      <protection locked="0"/>
    </xf>
    <xf numFmtId="0" fontId="8" fillId="36" borderId="0" xfId="0" applyNumberFormat="1" applyFont="1" applyFill="1" applyBorder="1" applyAlignment="1" applyProtection="1">
      <alignment horizontal="left" vertical="center"/>
      <protection locked="0"/>
    </xf>
    <xf numFmtId="0" fontId="8" fillId="37" borderId="0" xfId="0" applyNumberFormat="1" applyFont="1" applyFill="1" applyBorder="1" applyAlignment="1" applyProtection="1">
      <alignment horizontal="left" vertical="center"/>
      <protection locked="0"/>
    </xf>
    <xf numFmtId="0" fontId="15" fillId="35" borderId="14" xfId="0" applyNumberFormat="1" applyFont="1" applyFill="1" applyBorder="1" applyAlignment="1" applyProtection="1">
      <alignment horizontal="center" vertical="center"/>
      <protection locked="0"/>
    </xf>
    <xf numFmtId="0" fontId="7" fillId="38" borderId="12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7" fillId="33" borderId="18" xfId="0" applyNumberFormat="1" applyFont="1" applyFill="1" applyBorder="1" applyAlignment="1" applyProtection="1">
      <alignment horizontal="left" vertical="center"/>
      <protection locked="0"/>
    </xf>
    <xf numFmtId="0" fontId="22" fillId="33" borderId="0" xfId="0" applyNumberFormat="1" applyFont="1" applyFill="1" applyBorder="1" applyAlignment="1" applyProtection="1">
      <alignment horizontal="left" vertical="center"/>
      <protection locked="0"/>
    </xf>
    <xf numFmtId="0" fontId="22" fillId="33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22" fillId="0" borderId="0" xfId="0" applyNumberFormat="1" applyFont="1" applyAlignment="1" applyProtection="1">
      <alignment horizontal="left" vertical="center"/>
      <protection locked="0"/>
    </xf>
    <xf numFmtId="0" fontId="14" fillId="38" borderId="12" xfId="0" applyNumberFormat="1" applyFont="1" applyFill="1" applyBorder="1" applyAlignment="1" applyProtection="1">
      <alignment horizontal="left" vertical="center"/>
      <protection locked="0"/>
    </xf>
    <xf numFmtId="0" fontId="4" fillId="38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11" xfId="0" applyNumberFormat="1" applyFont="1" applyBorder="1" applyAlignment="1" applyProtection="1">
      <alignment horizontal="left" vertical="center"/>
      <protection locked="0"/>
    </xf>
    <xf numFmtId="0" fontId="14" fillId="33" borderId="0" xfId="0" applyNumberFormat="1" applyFont="1" applyFill="1" applyAlignment="1" applyProtection="1">
      <alignment horizontal="left" vertical="center"/>
      <protection locked="0"/>
    </xf>
    <xf numFmtId="0" fontId="4" fillId="0" borderId="1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Alignment="1" applyProtection="1">
      <alignment horizontal="left" vertical="center"/>
      <protection locked="0"/>
    </xf>
    <xf numFmtId="0" fontId="7" fillId="38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NumberFormat="1" applyFont="1" applyBorder="1" applyAlignment="1" applyProtection="1">
      <alignment horizontal="left" vertical="center"/>
      <protection locked="0"/>
    </xf>
    <xf numFmtId="0" fontId="14" fillId="0" borderId="14" xfId="0" applyNumberFormat="1" applyFont="1" applyBorder="1" applyAlignment="1" applyProtection="1">
      <alignment horizontal="left" vertical="center"/>
      <protection locked="0"/>
    </xf>
    <xf numFmtId="0" fontId="4" fillId="38" borderId="19" xfId="0" applyNumberFormat="1" applyFont="1" applyFill="1" applyBorder="1" applyAlignment="1" applyProtection="1">
      <alignment horizontal="left" vertical="center"/>
      <protection locked="0"/>
    </xf>
    <xf numFmtId="0" fontId="14" fillId="0" borderId="14" xfId="0" applyNumberFormat="1" applyFont="1" applyBorder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14" fillId="38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4" fillId="33" borderId="18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2" fillId="33" borderId="18" xfId="0" applyNumberFormat="1" applyFont="1" applyFill="1" applyBorder="1" applyAlignment="1" applyProtection="1">
      <alignment horizontal="left" vertical="center"/>
      <protection locked="0"/>
    </xf>
    <xf numFmtId="0" fontId="7" fillId="33" borderId="20" xfId="0" applyNumberFormat="1" applyFont="1" applyFill="1" applyBorder="1" applyAlignment="1" applyProtection="1">
      <alignment horizontal="left" vertical="center"/>
      <protection locked="0"/>
    </xf>
    <xf numFmtId="0" fontId="22" fillId="33" borderId="20" xfId="0" applyNumberFormat="1" applyFont="1" applyFill="1" applyBorder="1" applyAlignment="1" applyProtection="1">
      <alignment horizontal="left" vertical="center"/>
      <protection locked="0"/>
    </xf>
    <xf numFmtId="0" fontId="22" fillId="33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left"/>
      <protection hidden="1"/>
    </xf>
    <xf numFmtId="0" fontId="23" fillId="0" borderId="0" xfId="0" applyNumberFormat="1" applyFont="1" applyAlignment="1" applyProtection="1">
      <alignment horizontal="left"/>
      <protection hidden="1"/>
    </xf>
    <xf numFmtId="0" fontId="23" fillId="0" borderId="0" xfId="0" applyNumberFormat="1" applyFont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NumberFormat="1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39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Alignment="1" applyProtection="1">
      <alignment horizontal="left" vertical="center"/>
      <protection locked="0"/>
    </xf>
    <xf numFmtId="0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11" xfId="0" applyNumberFormat="1" applyFont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33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12" xfId="0" applyNumberFormat="1" applyFont="1" applyBorder="1" applyAlignment="1" applyProtection="1">
      <alignment horizontal="right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/>
    </xf>
    <xf numFmtId="0" fontId="32" fillId="36" borderId="15" xfId="0" applyNumberFormat="1" applyFont="1" applyFill="1" applyBorder="1" applyAlignment="1" applyProtection="1">
      <alignment horizontal="center" vertical="center"/>
      <protection locked="0"/>
    </xf>
    <xf numFmtId="0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center"/>
    </xf>
    <xf numFmtId="0" fontId="14" fillId="33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4" fillId="33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36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NumberFormat="1" applyFont="1" applyFill="1" applyBorder="1" applyAlignment="1" applyProtection="1">
      <alignment horizontal="right" vertical="center"/>
      <protection hidden="1"/>
    </xf>
    <xf numFmtId="0" fontId="27" fillId="0" borderId="20" xfId="0" applyNumberFormat="1" applyFont="1" applyFill="1" applyBorder="1" applyAlignment="1" applyProtection="1">
      <alignment horizontal="right" vertical="center"/>
      <protection hidden="1"/>
    </xf>
    <xf numFmtId="0" fontId="9" fillId="40" borderId="0" xfId="0" applyNumberFormat="1" applyFont="1" applyFill="1" applyAlignment="1" applyProtection="1">
      <alignment horizontal="center" vertical="center"/>
      <protection locked="0"/>
    </xf>
    <xf numFmtId="0" fontId="10" fillId="40" borderId="0" xfId="0" applyNumberFormat="1" applyFont="1" applyFill="1" applyBorder="1" applyAlignment="1" applyProtection="1">
      <alignment horizontal="left" vertical="center"/>
      <protection hidden="1"/>
    </xf>
    <xf numFmtId="0" fontId="10" fillId="40" borderId="11" xfId="0" applyNumberFormat="1" applyFont="1" applyFill="1" applyBorder="1" applyAlignment="1" applyProtection="1">
      <alignment horizontal="left" vertical="center"/>
      <protection hidden="1"/>
    </xf>
    <xf numFmtId="0" fontId="9" fillId="40" borderId="12" xfId="0" applyNumberFormat="1" applyFont="1" applyFill="1" applyBorder="1" applyAlignment="1" applyProtection="1">
      <alignment horizontal="center" vertical="center"/>
      <protection locked="0"/>
    </xf>
    <xf numFmtId="0" fontId="21" fillId="40" borderId="19" xfId="0" applyNumberFormat="1" applyFont="1" applyFill="1" applyBorder="1" applyAlignment="1" applyProtection="1">
      <alignment horizontal="center" vertical="center"/>
      <protection locked="0"/>
    </xf>
    <xf numFmtId="0" fontId="10" fillId="40" borderId="12" xfId="0" applyNumberFormat="1" applyFont="1" applyFill="1" applyBorder="1" applyAlignment="1" applyProtection="1">
      <alignment horizontal="left" vertical="center"/>
      <protection locked="0"/>
    </xf>
    <xf numFmtId="0" fontId="10" fillId="40" borderId="12" xfId="0" applyNumberFormat="1" applyFont="1" applyFill="1" applyBorder="1" applyAlignment="1" applyProtection="1">
      <alignment horizontal="left" vertical="center"/>
      <protection locked="0"/>
    </xf>
    <xf numFmtId="0" fontId="21" fillId="40" borderId="12" xfId="0" applyNumberFormat="1" applyFont="1" applyFill="1" applyBorder="1" applyAlignment="1" applyProtection="1">
      <alignment horizontal="center" vertical="center"/>
      <protection locked="0"/>
    </xf>
    <xf numFmtId="0" fontId="10" fillId="40" borderId="12" xfId="0" applyNumberFormat="1" applyFont="1" applyFill="1" applyBorder="1" applyAlignment="1" applyProtection="1">
      <alignment horizontal="center" vertical="center"/>
      <protection locked="0"/>
    </xf>
    <xf numFmtId="0" fontId="10" fillId="40" borderId="12" xfId="0" applyNumberFormat="1" applyFont="1" applyFill="1" applyBorder="1" applyAlignment="1" applyProtection="1">
      <alignment horizontal="left" vertical="center"/>
      <protection hidden="1"/>
    </xf>
    <xf numFmtId="0" fontId="10" fillId="40" borderId="21" xfId="0" applyNumberFormat="1" applyFont="1" applyFill="1" applyBorder="1" applyAlignment="1" applyProtection="1">
      <alignment horizontal="left" vertical="center"/>
      <protection hidden="1"/>
    </xf>
    <xf numFmtId="0" fontId="9" fillId="40" borderId="2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>
      <alignment horizontal="right" vertical="center"/>
    </xf>
    <xf numFmtId="0" fontId="24" fillId="0" borderId="10" xfId="0" applyNumberFormat="1" applyFont="1" applyFill="1" applyBorder="1" applyAlignment="1">
      <alignment horizontal="left" vertical="center"/>
    </xf>
    <xf numFmtId="49" fontId="27" fillId="0" borderId="20" xfId="0" applyNumberFormat="1" applyFont="1" applyFill="1" applyBorder="1" applyAlignment="1">
      <alignment horizontal="right" vertical="center"/>
    </xf>
    <xf numFmtId="49" fontId="27" fillId="0" borderId="12" xfId="0" applyNumberFormat="1" applyFont="1" applyFill="1" applyBorder="1" applyAlignment="1">
      <alignment horizontal="right" vertical="center"/>
    </xf>
    <xf numFmtId="0" fontId="24" fillId="0" borderId="12" xfId="0" applyNumberFormat="1" applyFont="1" applyFill="1" applyBorder="1" applyAlignment="1">
      <alignment horizontal="left" vertical="center"/>
    </xf>
    <xf numFmtId="0" fontId="27" fillId="34" borderId="17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NumberFormat="1" applyFont="1" applyAlignment="1" applyProtection="1">
      <alignment horizontal="left"/>
      <protection hidden="1"/>
    </xf>
    <xf numFmtId="0" fontId="33" fillId="0" borderId="0" xfId="0" applyNumberFormat="1" applyFont="1" applyAlignment="1" applyProtection="1">
      <alignment horizontal="center"/>
      <protection hidden="1"/>
    </xf>
    <xf numFmtId="0" fontId="24" fillId="0" borderId="0" xfId="0" applyNumberFormat="1" applyFont="1" applyAlignment="1" applyProtection="1">
      <alignment/>
      <protection hidden="1"/>
    </xf>
    <xf numFmtId="0" fontId="41" fillId="0" borderId="0" xfId="0" applyNumberFormat="1" applyFont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42" fillId="0" borderId="14" xfId="0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vertical="center"/>
      <protection hidden="1"/>
    </xf>
    <xf numFmtId="0" fontId="43" fillId="0" borderId="14" xfId="0" applyNumberFormat="1" applyFont="1" applyFill="1" applyBorder="1" applyAlignment="1" applyProtection="1">
      <alignment vertical="center"/>
      <protection hidden="1"/>
    </xf>
    <xf numFmtId="0" fontId="35" fillId="0" borderId="0" xfId="0" applyNumberFormat="1" applyFont="1" applyAlignment="1" applyProtection="1">
      <alignment horizontal="center"/>
      <protection hidden="1"/>
    </xf>
    <xf numFmtId="0" fontId="40" fillId="0" borderId="0" xfId="0" applyNumberFormat="1" applyFont="1" applyAlignment="1" applyProtection="1">
      <alignment/>
      <protection hidden="1"/>
    </xf>
    <xf numFmtId="0" fontId="40" fillId="0" borderId="0" xfId="0" applyNumberFormat="1" applyFont="1" applyAlignment="1" applyProtection="1">
      <alignment horizontal="center"/>
      <protection hidden="1"/>
    </xf>
    <xf numFmtId="0" fontId="44" fillId="41" borderId="0" xfId="0" applyNumberFormat="1" applyFont="1" applyFill="1" applyAlignment="1" applyProtection="1">
      <alignment horizontal="center"/>
      <protection hidden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top" wrapText="1"/>
    </xf>
    <xf numFmtId="0" fontId="40" fillId="38" borderId="0" xfId="0" applyNumberFormat="1" applyFont="1" applyFill="1" applyAlignment="1" applyProtection="1">
      <alignment horizontal="left"/>
      <protection hidden="1"/>
    </xf>
    <xf numFmtId="0" fontId="23" fillId="42" borderId="0" xfId="0" applyNumberFormat="1" applyFont="1" applyFill="1" applyAlignment="1" applyProtection="1">
      <alignment horizontal="center"/>
      <protection hidden="1"/>
    </xf>
    <xf numFmtId="0" fontId="23" fillId="0" borderId="12" xfId="0" applyNumberFormat="1" applyFont="1" applyBorder="1" applyAlignment="1" applyProtection="1">
      <alignment/>
      <protection hidden="1"/>
    </xf>
    <xf numFmtId="0" fontId="32" fillId="43" borderId="15" xfId="0" applyNumberFormat="1" applyFont="1" applyFill="1" applyBorder="1" applyAlignment="1" applyProtection="1">
      <alignment vertical="center"/>
      <protection locked="0"/>
    </xf>
    <xf numFmtId="0" fontId="32" fillId="43" borderId="10" xfId="0" applyNumberFormat="1" applyFont="1" applyFill="1" applyBorder="1" applyAlignment="1" applyProtection="1">
      <alignment vertical="center"/>
      <protection locked="0"/>
    </xf>
    <xf numFmtId="0" fontId="34" fillId="43" borderId="15" xfId="0" applyNumberFormat="1" applyFont="1" applyFill="1" applyBorder="1" applyAlignment="1" applyProtection="1">
      <alignment vertical="center"/>
      <protection locked="0"/>
    </xf>
    <xf numFmtId="0" fontId="34" fillId="43" borderId="10" xfId="0" applyNumberFormat="1" applyFont="1" applyFill="1" applyBorder="1" applyAlignment="1" applyProtection="1">
      <alignment vertical="center"/>
      <protection locked="0"/>
    </xf>
    <xf numFmtId="0" fontId="37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Alignment="1" applyProtection="1">
      <alignment horizontal="center" vertical="center"/>
      <protection locked="0"/>
    </xf>
    <xf numFmtId="0" fontId="32" fillId="44" borderId="15" xfId="0" applyNumberFormat="1" applyFont="1" applyFill="1" applyBorder="1" applyAlignment="1" applyProtection="1">
      <alignment vertical="center"/>
      <protection locked="0"/>
    </xf>
    <xf numFmtId="0" fontId="32" fillId="44" borderId="10" xfId="0" applyNumberFormat="1" applyFont="1" applyFill="1" applyBorder="1" applyAlignment="1" applyProtection="1">
      <alignment vertical="center"/>
      <protection locked="0"/>
    </xf>
    <xf numFmtId="0" fontId="34" fillId="45" borderId="15" xfId="0" applyNumberFormat="1" applyFont="1" applyFill="1" applyBorder="1" applyAlignment="1" applyProtection="1">
      <alignment vertical="center"/>
      <protection locked="0"/>
    </xf>
    <xf numFmtId="0" fontId="34" fillId="45" borderId="10" xfId="0" applyNumberFormat="1" applyFont="1" applyFill="1" applyBorder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horizontal="right" vertical="center"/>
      <protection locked="0"/>
    </xf>
    <xf numFmtId="0" fontId="23" fillId="0" borderId="0" xfId="0" applyNumberFormat="1" applyFont="1" applyFill="1" applyAlignment="1">
      <alignment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48" fillId="46" borderId="17" xfId="0" applyNumberFormat="1" applyFont="1" applyFill="1" applyBorder="1" applyAlignment="1">
      <alignment horizontal="center" vertical="center"/>
    </xf>
    <xf numFmtId="0" fontId="28" fillId="33" borderId="17" xfId="0" applyNumberFormat="1" applyFont="1" applyFill="1" applyBorder="1" applyAlignment="1">
      <alignment horizontal="center"/>
    </xf>
    <xf numFmtId="0" fontId="10" fillId="36" borderId="12" xfId="0" applyNumberFormat="1" applyFont="1" applyFill="1" applyBorder="1" applyAlignment="1" applyProtection="1">
      <alignment horizontal="left" vertical="center"/>
      <protection locked="0"/>
    </xf>
    <xf numFmtId="0" fontId="23" fillId="0" borderId="22" xfId="0" applyNumberFormat="1" applyFont="1" applyBorder="1" applyAlignment="1" applyProtection="1">
      <alignment/>
      <protection hidden="1"/>
    </xf>
    <xf numFmtId="0" fontId="23" fillId="0" borderId="23" xfId="0" applyNumberFormat="1" applyFont="1" applyBorder="1" applyAlignment="1" applyProtection="1">
      <alignment horizontal="left"/>
      <protection hidden="1"/>
    </xf>
    <xf numFmtId="0" fontId="23" fillId="0" borderId="24" xfId="0" applyNumberFormat="1" applyFont="1" applyBorder="1" applyAlignment="1" applyProtection="1">
      <alignment horizontal="left"/>
      <protection hidden="1"/>
    </xf>
    <xf numFmtId="0" fontId="24" fillId="0" borderId="25" xfId="0" applyNumberFormat="1" applyFont="1" applyFill="1" applyBorder="1" applyAlignment="1" applyProtection="1">
      <alignment horizontal="left" vertical="center"/>
      <protection hidden="1"/>
    </xf>
    <xf numFmtId="0" fontId="23" fillId="0" borderId="26" xfId="0" applyNumberFormat="1" applyFont="1" applyBorder="1" applyAlignment="1" applyProtection="1">
      <alignment/>
      <protection hidden="1"/>
    </xf>
    <xf numFmtId="0" fontId="23" fillId="34" borderId="27" xfId="0" applyNumberFormat="1" applyFont="1" applyFill="1" applyBorder="1" applyAlignment="1" applyProtection="1">
      <alignment/>
      <protection hidden="1"/>
    </xf>
    <xf numFmtId="0" fontId="23" fillId="0" borderId="23" xfId="0" applyNumberFormat="1" applyFont="1" applyBorder="1" applyAlignment="1" applyProtection="1">
      <alignment/>
      <protection hidden="1"/>
    </xf>
    <xf numFmtId="0" fontId="23" fillId="0" borderId="0" xfId="0" applyNumberFormat="1" applyFont="1" applyBorder="1" applyAlignment="1" applyProtection="1">
      <alignment/>
      <protection hidden="1"/>
    </xf>
    <xf numFmtId="0" fontId="23" fillId="0" borderId="24" xfId="0" applyNumberFormat="1" applyFont="1" applyBorder="1" applyAlignment="1" applyProtection="1">
      <alignment/>
      <protection hidden="1"/>
    </xf>
    <xf numFmtId="0" fontId="23" fillId="0" borderId="25" xfId="0" applyNumberFormat="1" applyFont="1" applyBorder="1" applyAlignment="1" applyProtection="1">
      <alignment/>
      <protection hidden="1"/>
    </xf>
    <xf numFmtId="0" fontId="33" fillId="0" borderId="0" xfId="0" applyNumberFormat="1" applyFont="1" applyAlignment="1" applyProtection="1">
      <alignment horizontal="right" vertical="center"/>
      <protection hidden="1"/>
    </xf>
    <xf numFmtId="0" fontId="23" fillId="38" borderId="0" xfId="0" applyNumberFormat="1" applyFont="1" applyFill="1" applyAlignment="1" applyProtection="1">
      <alignment horizontal="right" vertical="center"/>
      <protection hidden="1"/>
    </xf>
    <xf numFmtId="0" fontId="43" fillId="0" borderId="0" xfId="0" applyNumberFormat="1" applyFont="1" applyAlignment="1" applyProtection="1">
      <alignment horizontal="left" vertical="center"/>
      <protection hidden="1"/>
    </xf>
    <xf numFmtId="0" fontId="23" fillId="42" borderId="0" xfId="0" applyNumberFormat="1" applyFont="1" applyFill="1" applyAlignment="1" applyProtection="1">
      <alignment/>
      <protection hidden="1"/>
    </xf>
    <xf numFmtId="0" fontId="49" fillId="0" borderId="28" xfId="0" applyFont="1" applyBorder="1" applyAlignment="1">
      <alignment vertical="top" wrapText="1"/>
    </xf>
    <xf numFmtId="0" fontId="49" fillId="0" borderId="29" xfId="0" applyFont="1" applyBorder="1" applyAlignment="1">
      <alignment horizontal="right" vertical="top" wrapText="1"/>
    </xf>
    <xf numFmtId="0" fontId="49" fillId="0" borderId="29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right" vertical="top" wrapText="1"/>
    </xf>
    <xf numFmtId="0" fontId="23" fillId="0" borderId="30" xfId="0" applyNumberFormat="1" applyFont="1" applyBorder="1" applyAlignment="1" applyProtection="1">
      <alignment/>
      <protection hidden="1"/>
    </xf>
    <xf numFmtId="0" fontId="23" fillId="0" borderId="31" xfId="0" applyNumberFormat="1" applyFont="1" applyBorder="1" applyAlignment="1" applyProtection="1">
      <alignment/>
      <protection hidden="1"/>
    </xf>
    <xf numFmtId="0" fontId="46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horizontal="right" vertical="center"/>
    </xf>
    <xf numFmtId="0" fontId="24" fillId="0" borderId="20" xfId="0" applyNumberFormat="1" applyFont="1" applyFill="1" applyBorder="1" applyAlignment="1">
      <alignment horizontal="left" vertical="center"/>
    </xf>
    <xf numFmtId="0" fontId="23" fillId="46" borderId="17" xfId="0" applyNumberFormat="1" applyFont="1" applyFill="1" applyBorder="1" applyAlignment="1" applyProtection="1">
      <alignment horizontal="center"/>
      <protection hidden="1"/>
    </xf>
    <xf numFmtId="0" fontId="39" fillId="0" borderId="0" xfId="0" applyNumberFormat="1" applyFont="1" applyAlignment="1">
      <alignment horizontal="center" vertical="center"/>
    </xf>
    <xf numFmtId="0" fontId="12" fillId="46" borderId="32" xfId="0" applyNumberFormat="1" applyFont="1" applyFill="1" applyBorder="1" applyAlignment="1" applyProtection="1">
      <alignment horizontal="center" vertical="center"/>
      <protection hidden="1"/>
    </xf>
    <xf numFmtId="0" fontId="12" fillId="46" borderId="33" xfId="0" applyNumberFormat="1" applyFont="1" applyFill="1" applyBorder="1" applyAlignment="1" applyProtection="1">
      <alignment horizontal="center" vertical="center"/>
      <protection hidden="1"/>
    </xf>
    <xf numFmtId="0" fontId="28" fillId="33" borderId="32" xfId="0" applyNumberFormat="1" applyFont="1" applyFill="1" applyBorder="1" applyAlignment="1" applyProtection="1">
      <alignment horizontal="center" vertical="center"/>
      <protection hidden="1"/>
    </xf>
    <xf numFmtId="0" fontId="28" fillId="33" borderId="33" xfId="0" applyNumberFormat="1" applyFont="1" applyFill="1" applyBorder="1" applyAlignment="1" applyProtection="1">
      <alignment horizontal="center" vertical="center"/>
      <protection hidden="1"/>
    </xf>
    <xf numFmtId="0" fontId="7" fillId="36" borderId="17" xfId="0" applyNumberFormat="1" applyFont="1" applyFill="1" applyBorder="1" applyAlignment="1" applyProtection="1">
      <alignment horizontal="center" vertical="center"/>
      <protection locked="0"/>
    </xf>
    <xf numFmtId="0" fontId="10" fillId="36" borderId="19" xfId="0" applyNumberFormat="1" applyFont="1" applyFill="1" applyBorder="1" applyAlignment="1" applyProtection="1">
      <alignment horizontal="center" vertical="center"/>
      <protection hidden="1"/>
    </xf>
    <xf numFmtId="0" fontId="10" fillId="36" borderId="12" xfId="0" applyNumberFormat="1" applyFont="1" applyFill="1" applyBorder="1" applyAlignment="1" applyProtection="1">
      <alignment horizontal="center" vertical="center"/>
      <protection hidden="1"/>
    </xf>
    <xf numFmtId="0" fontId="10" fillId="36" borderId="12" xfId="0" applyNumberFormat="1" applyFont="1" applyFill="1" applyBorder="1" applyAlignment="1" applyProtection="1">
      <alignment horizontal="left" vertical="center"/>
      <protection locked="0"/>
    </xf>
    <xf numFmtId="0" fontId="14" fillId="36" borderId="17" xfId="0" applyNumberFormat="1" applyFont="1" applyFill="1" applyBorder="1" applyAlignment="1" applyProtection="1">
      <alignment horizontal="center" vertical="center"/>
      <protection locked="0"/>
    </xf>
    <xf numFmtId="0" fontId="12" fillId="37" borderId="0" xfId="0" applyNumberFormat="1" applyFont="1" applyFill="1" applyBorder="1" applyAlignment="1">
      <alignment horizontal="center" vertical="center"/>
    </xf>
    <xf numFmtId="0" fontId="47" fillId="46" borderId="0" xfId="0" applyNumberFormat="1" applyFont="1" applyFill="1" applyBorder="1" applyAlignment="1">
      <alignment horizontal="center" vertical="center"/>
    </xf>
    <xf numFmtId="0" fontId="32" fillId="47" borderId="15" xfId="0" applyNumberFormat="1" applyFont="1" applyFill="1" applyBorder="1" applyAlignment="1" applyProtection="1">
      <alignment horizontal="center" vertical="center"/>
      <protection locked="0"/>
    </xf>
    <xf numFmtId="0" fontId="32" fillId="47" borderId="10" xfId="0" applyNumberFormat="1" applyFont="1" applyFill="1" applyBorder="1" applyAlignment="1" applyProtection="1">
      <alignment horizontal="center" vertical="center"/>
      <protection locked="0"/>
    </xf>
    <xf numFmtId="0" fontId="32" fillId="47" borderId="16" xfId="0" applyNumberFormat="1" applyFont="1" applyFill="1" applyBorder="1" applyAlignment="1" applyProtection="1">
      <alignment horizontal="center" vertical="center"/>
      <protection locked="0"/>
    </xf>
    <xf numFmtId="0" fontId="34" fillId="36" borderId="15" xfId="0" applyNumberFormat="1" applyFont="1" applyFill="1" applyBorder="1" applyAlignment="1" applyProtection="1">
      <alignment horizontal="center" vertical="center"/>
      <protection locked="0"/>
    </xf>
    <xf numFmtId="0" fontId="34" fillId="36" borderId="10" xfId="0" applyNumberFormat="1" applyFont="1" applyFill="1" applyBorder="1" applyAlignment="1" applyProtection="1">
      <alignment horizontal="center" vertical="center"/>
      <protection locked="0"/>
    </xf>
    <xf numFmtId="0" fontId="34" fillId="36" borderId="16" xfId="0" applyNumberFormat="1" applyFont="1" applyFill="1" applyBorder="1" applyAlignment="1" applyProtection="1">
      <alignment horizontal="center" vertical="center"/>
      <protection locked="0"/>
    </xf>
    <xf numFmtId="0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6" xfId="0" applyNumberFormat="1" applyFont="1" applyFill="1" applyBorder="1" applyAlignment="1" applyProtection="1">
      <alignment horizontal="center" vertical="center"/>
      <protection locked="0"/>
    </xf>
    <xf numFmtId="0" fontId="34" fillId="42" borderId="15" xfId="0" applyNumberFormat="1" applyFont="1" applyFill="1" applyBorder="1" applyAlignment="1" applyProtection="1">
      <alignment horizontal="center" vertical="center"/>
      <protection locked="0"/>
    </xf>
    <xf numFmtId="0" fontId="34" fillId="42" borderId="10" xfId="0" applyNumberFormat="1" applyFont="1" applyFill="1" applyBorder="1" applyAlignment="1" applyProtection="1">
      <alignment horizontal="center" vertical="center"/>
      <protection locked="0"/>
    </xf>
    <xf numFmtId="0" fontId="34" fillId="42" borderId="16" xfId="0" applyNumberFormat="1" applyFont="1" applyFill="1" applyBorder="1" applyAlignment="1" applyProtection="1">
      <alignment horizontal="center" vertical="center"/>
      <protection locked="0"/>
    </xf>
    <xf numFmtId="0" fontId="10" fillId="38" borderId="12" xfId="0" applyNumberFormat="1" applyFont="1" applyFill="1" applyBorder="1" applyAlignment="1" applyProtection="1">
      <alignment horizontal="left" vertical="center"/>
      <protection locked="0"/>
    </xf>
    <xf numFmtId="0" fontId="10" fillId="38" borderId="21" xfId="0" applyNumberFormat="1" applyFont="1" applyFill="1" applyBorder="1" applyAlignment="1" applyProtection="1">
      <alignment horizontal="left" vertical="center"/>
      <protection locked="0"/>
    </xf>
    <xf numFmtId="0" fontId="10" fillId="38" borderId="12" xfId="0" applyNumberFormat="1" applyFont="1" applyFill="1" applyBorder="1" applyAlignment="1" applyProtection="1">
      <alignment horizontal="left" vertical="center"/>
      <protection hidden="1"/>
    </xf>
    <xf numFmtId="0" fontId="32" fillId="43" borderId="15" xfId="0" applyNumberFormat="1" applyFont="1" applyFill="1" applyBorder="1" applyAlignment="1" applyProtection="1">
      <alignment horizontal="center" vertical="center"/>
      <protection locked="0"/>
    </xf>
    <xf numFmtId="0" fontId="32" fillId="43" borderId="10" xfId="0" applyNumberFormat="1" applyFont="1" applyFill="1" applyBorder="1" applyAlignment="1" applyProtection="1">
      <alignment horizontal="center" vertical="center"/>
      <protection locked="0"/>
    </xf>
    <xf numFmtId="0" fontId="32" fillId="43" borderId="16" xfId="0" applyNumberFormat="1" applyFont="1" applyFill="1" applyBorder="1" applyAlignment="1" applyProtection="1">
      <alignment horizontal="center" vertical="center"/>
      <protection locked="0"/>
    </xf>
    <xf numFmtId="0" fontId="31" fillId="44" borderId="15" xfId="0" applyNumberFormat="1" applyFont="1" applyFill="1" applyBorder="1" applyAlignment="1" applyProtection="1">
      <alignment horizontal="center" vertical="center"/>
      <protection locked="0"/>
    </xf>
    <xf numFmtId="0" fontId="31" fillId="44" borderId="10" xfId="0" applyNumberFormat="1" applyFont="1" applyFill="1" applyBorder="1" applyAlignment="1" applyProtection="1">
      <alignment horizontal="center" vertical="center"/>
      <protection locked="0"/>
    </xf>
    <xf numFmtId="0" fontId="31" fillId="44" borderId="16" xfId="0" applyNumberFormat="1" applyFont="1" applyFill="1" applyBorder="1" applyAlignment="1" applyProtection="1">
      <alignment horizontal="center" vertical="center"/>
      <protection locked="0"/>
    </xf>
    <xf numFmtId="0" fontId="7" fillId="38" borderId="12" xfId="0" applyNumberFormat="1" applyFont="1" applyFill="1" applyBorder="1" applyAlignment="1" applyProtection="1">
      <alignment horizontal="left" vertical="center"/>
      <protection hidden="1"/>
    </xf>
    <xf numFmtId="0" fontId="8" fillId="36" borderId="15" xfId="0" applyNumberFormat="1" applyFont="1" applyFill="1" applyBorder="1" applyAlignment="1" applyProtection="1">
      <alignment horizontal="center" vertical="center"/>
      <protection locked="0"/>
    </xf>
    <xf numFmtId="0" fontId="8" fillId="36" borderId="16" xfId="0" applyNumberFormat="1" applyFont="1" applyFill="1" applyBorder="1" applyAlignment="1" applyProtection="1">
      <alignment horizontal="center" vertical="center"/>
      <protection locked="0"/>
    </xf>
    <xf numFmtId="0" fontId="11" fillId="34" borderId="17" xfId="0" applyNumberFormat="1" applyFont="1" applyFill="1" applyBorder="1" applyAlignment="1" applyProtection="1">
      <alignment horizontal="center" vertical="center"/>
      <protection locked="0"/>
    </xf>
    <xf numFmtId="0" fontId="11" fillId="36" borderId="15" xfId="0" applyNumberFormat="1" applyFont="1" applyFill="1" applyBorder="1" applyAlignment="1" applyProtection="1">
      <alignment horizontal="center" vertical="center"/>
      <protection locked="0"/>
    </xf>
    <xf numFmtId="0" fontId="11" fillId="36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16" xfId="0" applyNumberFormat="1" applyFont="1" applyFill="1" applyBorder="1" applyAlignment="1" applyProtection="1">
      <alignment horizontal="center" vertical="center"/>
      <protection locked="0"/>
    </xf>
    <xf numFmtId="0" fontId="10" fillId="40" borderId="12" xfId="0" applyNumberFormat="1" applyFont="1" applyFill="1" applyBorder="1" applyAlignment="1" applyProtection="1">
      <alignment horizontal="left" vertical="center"/>
      <protection hidden="1"/>
    </xf>
    <xf numFmtId="0" fontId="10" fillId="40" borderId="21" xfId="0" applyNumberFormat="1" applyFont="1" applyFill="1" applyBorder="1" applyAlignment="1" applyProtection="1">
      <alignment horizontal="left" vertical="center"/>
      <protection hidden="1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36" borderId="19" xfId="0" applyNumberFormat="1" applyFont="1" applyFill="1" applyBorder="1" applyAlignment="1" applyProtection="1">
      <alignment horizontal="center" vertical="center"/>
      <protection locked="0"/>
    </xf>
    <xf numFmtId="0" fontId="11" fillId="36" borderId="12" xfId="0" applyNumberFormat="1" applyFont="1" applyFill="1" applyBorder="1" applyAlignment="1" applyProtection="1">
      <alignment horizontal="center" vertical="center"/>
      <protection locked="0"/>
    </xf>
    <xf numFmtId="0" fontId="11" fillId="36" borderId="21" xfId="0" applyNumberFormat="1" applyFont="1" applyFill="1" applyBorder="1" applyAlignment="1" applyProtection="1">
      <alignment horizontal="center" vertical="center"/>
      <protection locked="0"/>
    </xf>
    <xf numFmtId="0" fontId="10" fillId="40" borderId="12" xfId="0" applyNumberFormat="1" applyFont="1" applyFill="1" applyBorder="1" applyAlignment="1" applyProtection="1">
      <alignment horizontal="left" vertical="center"/>
      <protection locked="0"/>
    </xf>
    <xf numFmtId="0" fontId="10" fillId="40" borderId="0" xfId="0" applyNumberFormat="1" applyFont="1" applyFill="1" applyBorder="1" applyAlignment="1" applyProtection="1">
      <alignment horizontal="left" vertical="center"/>
      <protection hidden="1"/>
    </xf>
    <xf numFmtId="0" fontId="10" fillId="40" borderId="11" xfId="0" applyNumberFormat="1" applyFont="1" applyFill="1" applyBorder="1" applyAlignment="1" applyProtection="1">
      <alignment horizontal="left" vertical="center"/>
      <protection hidden="1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40" borderId="21" xfId="0" applyNumberFormat="1" applyFont="1" applyFill="1" applyBorder="1" applyAlignment="1" applyProtection="1">
      <alignment horizontal="left" vertical="center"/>
      <protection locked="0"/>
    </xf>
    <xf numFmtId="0" fontId="10" fillId="40" borderId="0" xfId="0" applyNumberFormat="1" applyFont="1" applyFill="1" applyBorder="1" applyAlignment="1" applyProtection="1">
      <alignment horizontal="left" vertical="center"/>
      <protection locked="0"/>
    </xf>
    <xf numFmtId="0" fontId="10" fillId="40" borderId="11" xfId="0" applyNumberFormat="1" applyFont="1" applyFill="1" applyBorder="1" applyAlignment="1" applyProtection="1">
      <alignment horizontal="left" vertical="center"/>
      <protection locked="0"/>
    </xf>
    <xf numFmtId="0" fontId="10" fillId="40" borderId="20" xfId="0" applyNumberFormat="1" applyFont="1" applyFill="1" applyBorder="1" applyAlignment="1" applyProtection="1">
      <alignment horizontal="left" vertical="center"/>
      <protection hidden="1"/>
    </xf>
    <xf numFmtId="0" fontId="10" fillId="40" borderId="13" xfId="0" applyNumberFormat="1" applyFont="1" applyFill="1" applyBorder="1" applyAlignment="1" applyProtection="1">
      <alignment horizontal="left" vertical="center"/>
      <protection hidden="1"/>
    </xf>
    <xf numFmtId="0" fontId="11" fillId="34" borderId="15" xfId="0" applyNumberFormat="1" applyFont="1" applyFill="1" applyBorder="1" applyAlignment="1" applyProtection="1">
      <alignment horizontal="center" vertical="center"/>
      <protection locked="0"/>
    </xf>
    <xf numFmtId="0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1" fillId="34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43" borderId="19" xfId="0" applyNumberFormat="1" applyFont="1" applyFill="1" applyBorder="1" applyAlignment="1" applyProtection="1">
      <alignment horizontal="left" vertical="center"/>
      <protection hidden="1"/>
    </xf>
    <xf numFmtId="0" fontId="10" fillId="43" borderId="12" xfId="0" applyNumberFormat="1" applyFont="1" applyFill="1" applyBorder="1" applyAlignment="1" applyProtection="1">
      <alignment horizontal="left" vertical="center"/>
      <protection hidden="1"/>
    </xf>
    <xf numFmtId="0" fontId="10" fillId="43" borderId="12" xfId="0" applyNumberFormat="1" applyFont="1" applyFill="1" applyBorder="1" applyAlignment="1" applyProtection="1">
      <alignment horizontal="left" vertical="center"/>
      <protection locked="0"/>
    </xf>
    <xf numFmtId="0" fontId="34" fillId="44" borderId="15" xfId="0" applyNumberFormat="1" applyFont="1" applyFill="1" applyBorder="1" applyAlignment="1" applyProtection="1">
      <alignment horizontal="center" vertical="center"/>
      <protection locked="0"/>
    </xf>
    <xf numFmtId="0" fontId="34" fillId="44" borderId="16" xfId="0" applyNumberFormat="1" applyFont="1" applyFill="1" applyBorder="1" applyAlignment="1" applyProtection="1">
      <alignment horizontal="center" vertical="center"/>
      <protection locked="0"/>
    </xf>
    <xf numFmtId="0" fontId="10" fillId="44" borderId="12" xfId="0" applyNumberFormat="1" applyFont="1" applyFill="1" applyBorder="1" applyAlignment="1" applyProtection="1">
      <alignment horizontal="left" vertical="center"/>
      <protection locked="0"/>
    </xf>
    <xf numFmtId="0" fontId="10" fillId="44" borderId="19" xfId="0" applyNumberFormat="1" applyFont="1" applyFill="1" applyBorder="1" applyAlignment="1" applyProtection="1">
      <alignment horizontal="left" vertical="center"/>
      <protection hidden="1"/>
    </xf>
    <xf numFmtId="0" fontId="10" fillId="44" borderId="12" xfId="0" applyNumberFormat="1" applyFont="1" applyFill="1" applyBorder="1" applyAlignment="1" applyProtection="1">
      <alignment horizontal="left" vertical="center"/>
      <protection hidden="1"/>
    </xf>
    <xf numFmtId="0" fontId="34" fillId="47" borderId="15" xfId="0" applyNumberFormat="1" applyFont="1" applyFill="1" applyBorder="1" applyAlignment="1" applyProtection="1">
      <alignment horizontal="center" vertical="center"/>
      <protection locked="0"/>
    </xf>
    <xf numFmtId="0" fontId="34" fillId="47" borderId="10" xfId="0" applyNumberFormat="1" applyFont="1" applyFill="1" applyBorder="1" applyAlignment="1" applyProtection="1">
      <alignment horizontal="center" vertical="center"/>
      <protection locked="0"/>
    </xf>
    <xf numFmtId="0" fontId="10" fillId="47" borderId="12" xfId="0" applyNumberFormat="1" applyFont="1" applyFill="1" applyBorder="1" applyAlignment="1" applyProtection="1">
      <alignment horizontal="left" vertical="center"/>
      <protection locked="0"/>
    </xf>
    <xf numFmtId="0" fontId="10" fillId="47" borderId="19" xfId="0" applyNumberFormat="1" applyFont="1" applyFill="1" applyBorder="1" applyAlignment="1" applyProtection="1">
      <alignment horizontal="left" vertical="center"/>
      <protection hidden="1"/>
    </xf>
    <xf numFmtId="0" fontId="10" fillId="47" borderId="12" xfId="0" applyNumberFormat="1" applyFont="1" applyFill="1" applyBorder="1" applyAlignment="1" applyProtection="1">
      <alignment horizontal="left" vertical="center"/>
      <protection hidden="1"/>
    </xf>
    <xf numFmtId="0" fontId="32" fillId="36" borderId="15" xfId="0" applyNumberFormat="1" applyFont="1" applyFill="1" applyBorder="1" applyAlignment="1" applyProtection="1">
      <alignment horizontal="center" vertical="center"/>
      <protection locked="0"/>
    </xf>
    <xf numFmtId="0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10" fillId="45" borderId="12" xfId="0" applyNumberFormat="1" applyFont="1" applyFill="1" applyBorder="1" applyAlignment="1" applyProtection="1">
      <alignment horizontal="left" vertical="center"/>
      <protection locked="0"/>
    </xf>
    <xf numFmtId="0" fontId="10" fillId="45" borderId="19" xfId="0" applyNumberFormat="1" applyFont="1" applyFill="1" applyBorder="1" applyAlignment="1" applyProtection="1">
      <alignment horizontal="center" vertical="center"/>
      <protection hidden="1"/>
    </xf>
    <xf numFmtId="0" fontId="10" fillId="45" borderId="12" xfId="0" applyNumberFormat="1" applyFont="1" applyFill="1" applyBorder="1" applyAlignment="1" applyProtection="1">
      <alignment horizontal="center" vertical="center"/>
      <protection hidden="1"/>
    </xf>
    <xf numFmtId="0" fontId="10" fillId="42" borderId="12" xfId="0" applyNumberFormat="1" applyFont="1" applyFill="1" applyBorder="1" applyAlignment="1" applyProtection="1">
      <alignment horizontal="left" vertical="center"/>
      <protection locked="0"/>
    </xf>
    <xf numFmtId="0" fontId="32" fillId="42" borderId="15" xfId="0" applyNumberFormat="1" applyFont="1" applyFill="1" applyBorder="1" applyAlignment="1" applyProtection="1">
      <alignment horizontal="center" vertical="center"/>
      <protection locked="0"/>
    </xf>
    <xf numFmtId="0" fontId="32" fillId="42" borderId="16" xfId="0" applyNumberFormat="1" applyFont="1" applyFill="1" applyBorder="1" applyAlignment="1" applyProtection="1">
      <alignment horizontal="center" vertical="center"/>
      <protection locked="0"/>
    </xf>
    <xf numFmtId="0" fontId="10" fillId="42" borderId="19" xfId="0" applyNumberFormat="1" applyFont="1" applyFill="1" applyBorder="1" applyAlignment="1" applyProtection="1">
      <alignment horizontal="center" vertical="center"/>
      <protection hidden="1"/>
    </xf>
    <xf numFmtId="0" fontId="10" fillId="42" borderId="12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zoomScale="75" zoomScaleNormal="75" zoomScalePageLayoutView="0" workbookViewId="0" topLeftCell="A50">
      <selection activeCell="C58" sqref="C58:E58"/>
    </sheetView>
  </sheetViews>
  <sheetFormatPr defaultColWidth="9.140625" defaultRowHeight="12.75"/>
  <cols>
    <col min="1" max="1" width="4.57421875" style="63" customWidth="1"/>
    <col min="2" max="2" width="9.28125" style="64" customWidth="1"/>
    <col min="3" max="3" width="24.28125" style="154" customWidth="1"/>
    <col min="4" max="4" width="15.57421875" style="65" customWidth="1"/>
    <col min="5" max="5" width="24.28125" style="63" customWidth="1"/>
    <col min="6" max="6" width="3.00390625" style="63" customWidth="1"/>
    <col min="7" max="7" width="12.28125" style="63" customWidth="1"/>
    <col min="8" max="9" width="7.8515625" style="63" customWidth="1"/>
    <col min="10" max="10" width="19.421875" style="63" customWidth="1"/>
    <col min="11" max="11" width="3.00390625" style="63" customWidth="1"/>
    <col min="12" max="12" width="24.421875" style="63" customWidth="1"/>
    <col min="13" max="13" width="15.57421875" style="63" customWidth="1"/>
    <col min="14" max="14" width="24.421875" style="63" customWidth="1"/>
    <col min="15" max="16384" width="9.140625" style="63" customWidth="1"/>
  </cols>
  <sheetData>
    <row r="1" spans="1:13" ht="29.25" customHeight="1">
      <c r="A1" s="296" t="s">
        <v>131</v>
      </c>
      <c r="B1" s="296"/>
      <c r="C1" s="296"/>
      <c r="D1" s="296"/>
      <c r="E1" s="296"/>
      <c r="F1" s="296"/>
      <c r="G1" s="228"/>
      <c r="H1" s="228"/>
      <c r="I1" s="228"/>
      <c r="J1" s="229"/>
      <c r="M1" s="154"/>
    </row>
    <row r="2" spans="3:13" ht="15" customHeight="1" thickBot="1">
      <c r="C2" s="230"/>
      <c r="E2" s="231"/>
      <c r="G2" s="228"/>
      <c r="H2" s="228"/>
      <c r="I2" s="228"/>
      <c r="J2" s="229"/>
      <c r="M2" s="154"/>
    </row>
    <row r="3" spans="2:13" ht="28.5" customHeight="1" thickBot="1">
      <c r="B3" s="232"/>
      <c r="C3" s="297" t="s">
        <v>40</v>
      </c>
      <c r="D3" s="298"/>
      <c r="E3" s="233"/>
      <c r="G3" s="228"/>
      <c r="H3" s="228"/>
      <c r="I3" s="228"/>
      <c r="J3" s="229"/>
      <c r="M3" s="154"/>
    </row>
    <row r="4" spans="2:13" s="66" customFormat="1" ht="24.75" customHeight="1" thickBot="1">
      <c r="B4" s="234"/>
      <c r="C4" s="299" t="s">
        <v>144</v>
      </c>
      <c r="D4" s="300"/>
      <c r="E4" s="235"/>
      <c r="G4" s="228"/>
      <c r="H4" s="228"/>
      <c r="I4" s="228"/>
      <c r="J4" s="236"/>
      <c r="M4" s="155"/>
    </row>
    <row r="5" spans="2:10" s="66" customFormat="1" ht="15" customHeight="1">
      <c r="B5" s="67"/>
      <c r="C5" s="68"/>
      <c r="D5" s="68"/>
      <c r="G5" s="237"/>
      <c r="I5" s="237"/>
      <c r="J5" s="238"/>
    </row>
    <row r="6" spans="1:14" s="66" customFormat="1" ht="24.75" customHeight="1">
      <c r="A6" s="69"/>
      <c r="B6" s="227" t="s">
        <v>6</v>
      </c>
      <c r="C6" s="227" t="s">
        <v>5</v>
      </c>
      <c r="D6" s="227" t="s">
        <v>132</v>
      </c>
      <c r="E6" s="227" t="s">
        <v>41</v>
      </c>
      <c r="G6" s="237"/>
      <c r="I6" s="237"/>
      <c r="J6" s="239" t="s">
        <v>133</v>
      </c>
      <c r="L6" s="295" t="s">
        <v>134</v>
      </c>
      <c r="M6" s="295"/>
      <c r="N6" s="295"/>
    </row>
    <row r="7" spans="2:14" s="66" customFormat="1" ht="24.75" customHeight="1">
      <c r="B7" s="67"/>
      <c r="C7" s="240"/>
      <c r="D7" s="241"/>
      <c r="E7" s="240"/>
      <c r="G7" s="237"/>
      <c r="H7" s="237"/>
      <c r="I7" s="237"/>
      <c r="J7" s="238"/>
      <c r="L7" s="273" t="s">
        <v>5</v>
      </c>
      <c r="M7" s="273" t="s">
        <v>135</v>
      </c>
      <c r="N7" s="273" t="s">
        <v>41</v>
      </c>
    </row>
    <row r="8" spans="2:15" s="66" customFormat="1" ht="18" customHeight="1">
      <c r="B8" s="79" t="s">
        <v>4</v>
      </c>
      <c r="C8" s="282" t="s">
        <v>149</v>
      </c>
      <c r="D8" s="283">
        <v>107</v>
      </c>
      <c r="E8" s="284" t="s">
        <v>150</v>
      </c>
      <c r="G8" s="242" t="str">
        <f>+E8</f>
        <v>UKS PŁOMIEŃ</v>
      </c>
      <c r="H8" s="242">
        <f>+E71</f>
        <v>0</v>
      </c>
      <c r="I8" s="242" t="str">
        <f>+E11</f>
        <v>MKS "SKAWA"</v>
      </c>
      <c r="J8" s="243">
        <f>IF(G8=H8,"błąd",IF(G8=I8,"błąd",""))</f>
      </c>
      <c r="L8" s="282" t="s">
        <v>149</v>
      </c>
      <c r="M8" s="283">
        <v>107</v>
      </c>
      <c r="N8" s="284" t="s">
        <v>150</v>
      </c>
      <c r="O8" s="284" t="s">
        <v>151</v>
      </c>
    </row>
    <row r="9" spans="2:15" s="66" customFormat="1" ht="18" customHeight="1">
      <c r="B9" s="208" t="s">
        <v>3</v>
      </c>
      <c r="C9" s="282" t="s">
        <v>152</v>
      </c>
      <c r="D9" s="283">
        <v>102</v>
      </c>
      <c r="E9" s="284" t="s">
        <v>153</v>
      </c>
      <c r="F9" s="244"/>
      <c r="G9" s="242" t="str">
        <f aca="true" t="shared" si="0" ref="G9:G71">+E9</f>
        <v>KS SPEKTRUM</v>
      </c>
      <c r="H9" s="242">
        <f>+E70</f>
        <v>0</v>
      </c>
      <c r="I9" s="242" t="str">
        <f>+E10</f>
        <v>UKS</v>
      </c>
      <c r="J9" s="243">
        <f>IF(G9=H9,"błąd",IF(G9=I9,"błąd",""))</f>
      </c>
      <c r="L9" s="282" t="s">
        <v>152</v>
      </c>
      <c r="M9" s="283">
        <v>102</v>
      </c>
      <c r="N9" s="284" t="s">
        <v>153</v>
      </c>
      <c r="O9" s="284" t="s">
        <v>154</v>
      </c>
    </row>
    <row r="10" spans="2:15" s="66" customFormat="1" ht="18" customHeight="1">
      <c r="B10" s="209" t="s">
        <v>7</v>
      </c>
      <c r="C10" s="282" t="s">
        <v>158</v>
      </c>
      <c r="D10" s="283">
        <v>91</v>
      </c>
      <c r="E10" s="284" t="s">
        <v>159</v>
      </c>
      <c r="G10" s="242" t="str">
        <f t="shared" si="0"/>
        <v>UKS</v>
      </c>
      <c r="H10" s="242">
        <f>+E69</f>
        <v>0</v>
      </c>
      <c r="I10" s="242" t="str">
        <f>+E9</f>
        <v>KS SPEKTRUM</v>
      </c>
      <c r="J10" s="243">
        <f>IF(G10=H10,"błąd",IF(G10=I10,"błąd",""))</f>
      </c>
      <c r="L10" s="282" t="s">
        <v>155</v>
      </c>
      <c r="M10" s="283">
        <v>95</v>
      </c>
      <c r="N10" s="284" t="s">
        <v>156</v>
      </c>
      <c r="O10" s="284" t="s">
        <v>157</v>
      </c>
    </row>
    <row r="11" spans="2:15" s="66" customFormat="1" ht="18" customHeight="1">
      <c r="B11" s="208" t="s">
        <v>8</v>
      </c>
      <c r="C11" s="282" t="s">
        <v>155</v>
      </c>
      <c r="D11" s="283">
        <v>95</v>
      </c>
      <c r="E11" s="284" t="s">
        <v>156</v>
      </c>
      <c r="F11" s="244"/>
      <c r="G11" s="242" t="str">
        <f t="shared" si="0"/>
        <v>MKS "SKAWA"</v>
      </c>
      <c r="H11" s="242">
        <f>+E68</f>
        <v>0</v>
      </c>
      <c r="I11" s="242" t="str">
        <f>+E8</f>
        <v>UKS PŁOMIEŃ</v>
      </c>
      <c r="J11" s="243">
        <f>IF(G11=H11,"błąd",IF(G11=I11,"błąd",""))</f>
      </c>
      <c r="L11" s="282" t="s">
        <v>158</v>
      </c>
      <c r="M11" s="283">
        <v>91</v>
      </c>
      <c r="N11" s="284" t="s">
        <v>159</v>
      </c>
      <c r="O11" s="284" t="s">
        <v>160</v>
      </c>
    </row>
    <row r="12" spans="2:15" s="66" customFormat="1" ht="18" customHeight="1">
      <c r="B12" s="79" t="s">
        <v>9</v>
      </c>
      <c r="C12" s="282" t="s">
        <v>164</v>
      </c>
      <c r="D12" s="283">
        <v>75</v>
      </c>
      <c r="E12" s="284" t="s">
        <v>165</v>
      </c>
      <c r="G12" s="242" t="str">
        <f t="shared" si="0"/>
        <v>OSKIR PODWAWELSKI</v>
      </c>
      <c r="H12" s="242">
        <f>+E67</f>
        <v>0</v>
      </c>
      <c r="J12" s="243">
        <f>IF(G12=H12,"błąd","")</f>
      </c>
      <c r="L12" s="282" t="s">
        <v>161</v>
      </c>
      <c r="M12" s="283">
        <v>78</v>
      </c>
      <c r="N12" s="284" t="s">
        <v>162</v>
      </c>
      <c r="O12" s="284" t="s">
        <v>163</v>
      </c>
    </row>
    <row r="13" spans="2:15" s="66" customFormat="1" ht="18" customHeight="1">
      <c r="B13" s="208" t="s">
        <v>10</v>
      </c>
      <c r="C13" s="282" t="s">
        <v>161</v>
      </c>
      <c r="D13" s="283">
        <v>78</v>
      </c>
      <c r="E13" s="284" t="s">
        <v>162</v>
      </c>
      <c r="F13" s="244"/>
      <c r="G13" s="242" t="str">
        <f t="shared" si="0"/>
        <v>MKS TARNOVIA</v>
      </c>
      <c r="H13" s="242">
        <f>+E66</f>
        <v>0</v>
      </c>
      <c r="J13" s="243">
        <f aca="true" t="shared" si="1" ref="J13:J71">IF(G13=H13,"błąd","")</f>
      </c>
      <c r="L13" s="282" t="s">
        <v>164</v>
      </c>
      <c r="M13" s="283">
        <v>75</v>
      </c>
      <c r="N13" s="284" t="s">
        <v>165</v>
      </c>
      <c r="O13" s="284" t="s">
        <v>166</v>
      </c>
    </row>
    <row r="14" spans="2:15" s="66" customFormat="1" ht="18" customHeight="1">
      <c r="B14" s="79" t="s">
        <v>11</v>
      </c>
      <c r="C14" s="282" t="s">
        <v>168</v>
      </c>
      <c r="D14" s="283">
        <v>69</v>
      </c>
      <c r="E14" s="284" t="s">
        <v>169</v>
      </c>
      <c r="G14" s="242" t="str">
        <f t="shared" si="0"/>
        <v>UKS "SOKÓŁ"</v>
      </c>
      <c r="H14" s="242">
        <f>+E65</f>
        <v>0</v>
      </c>
      <c r="J14" s="243">
        <f t="shared" si="1"/>
      </c>
      <c r="L14" s="282" t="s">
        <v>167</v>
      </c>
      <c r="M14" s="283">
        <v>72</v>
      </c>
      <c r="N14" s="284" t="s">
        <v>153</v>
      </c>
      <c r="O14" s="284" t="s">
        <v>154</v>
      </c>
    </row>
    <row r="15" spans="2:15" s="66" customFormat="1" ht="18" customHeight="1">
      <c r="B15" s="208" t="s">
        <v>12</v>
      </c>
      <c r="C15" s="282" t="s">
        <v>167</v>
      </c>
      <c r="D15" s="283">
        <v>72</v>
      </c>
      <c r="E15" s="284" t="s">
        <v>153</v>
      </c>
      <c r="F15" s="244"/>
      <c r="G15" s="242" t="str">
        <f t="shared" si="0"/>
        <v>KS SPEKTRUM</v>
      </c>
      <c r="H15" s="242">
        <f>+E64</f>
        <v>0</v>
      </c>
      <c r="J15" s="243">
        <f t="shared" si="1"/>
      </c>
      <c r="L15" s="282" t="s">
        <v>168</v>
      </c>
      <c r="M15" s="283">
        <v>69</v>
      </c>
      <c r="N15" s="284" t="s">
        <v>169</v>
      </c>
      <c r="O15" s="284" t="s">
        <v>170</v>
      </c>
    </row>
    <row r="16" spans="2:15" s="66" customFormat="1" ht="18" customHeight="1">
      <c r="B16" s="79" t="s">
        <v>13</v>
      </c>
      <c r="C16" s="282" t="s">
        <v>171</v>
      </c>
      <c r="D16" s="283">
        <v>66</v>
      </c>
      <c r="E16" s="284" t="s">
        <v>162</v>
      </c>
      <c r="G16" s="242" t="str">
        <f t="shared" si="0"/>
        <v>MKS TARNOVIA</v>
      </c>
      <c r="H16" s="242">
        <f>+E63</f>
        <v>0</v>
      </c>
      <c r="J16" s="243">
        <f t="shared" si="1"/>
      </c>
      <c r="L16" s="282" t="s">
        <v>171</v>
      </c>
      <c r="M16" s="283">
        <v>66</v>
      </c>
      <c r="N16" s="284" t="s">
        <v>162</v>
      </c>
      <c r="O16" s="284" t="s">
        <v>163</v>
      </c>
    </row>
    <row r="17" spans="2:15" s="66" customFormat="1" ht="18" customHeight="1">
      <c r="B17" s="79" t="s">
        <v>14</v>
      </c>
      <c r="C17" s="282" t="s">
        <v>172</v>
      </c>
      <c r="D17" s="283">
        <v>66</v>
      </c>
      <c r="E17" s="284" t="s">
        <v>159</v>
      </c>
      <c r="G17" s="242" t="str">
        <f t="shared" si="0"/>
        <v>UKS</v>
      </c>
      <c r="H17" s="242">
        <f>+E62</f>
        <v>0</v>
      </c>
      <c r="J17" s="243">
        <f t="shared" si="1"/>
      </c>
      <c r="L17" s="282" t="s">
        <v>172</v>
      </c>
      <c r="M17" s="283">
        <v>66</v>
      </c>
      <c r="N17" s="284" t="s">
        <v>159</v>
      </c>
      <c r="O17" s="284" t="s">
        <v>160</v>
      </c>
    </row>
    <row r="18" spans="2:15" s="66" customFormat="1" ht="18" customHeight="1">
      <c r="B18" s="79" t="s">
        <v>15</v>
      </c>
      <c r="C18" s="282" t="s">
        <v>174</v>
      </c>
      <c r="D18" s="283">
        <v>56</v>
      </c>
      <c r="E18" s="284" t="s">
        <v>150</v>
      </c>
      <c r="G18" s="242" t="str">
        <f t="shared" si="0"/>
        <v>UKS PŁOMIEŃ</v>
      </c>
      <c r="H18" s="242">
        <f>+E61</f>
        <v>0</v>
      </c>
      <c r="J18" s="243">
        <f t="shared" si="1"/>
      </c>
      <c r="L18" s="282" t="s">
        <v>173</v>
      </c>
      <c r="M18" s="283">
        <v>66</v>
      </c>
      <c r="N18" s="284" t="s">
        <v>169</v>
      </c>
      <c r="O18" s="284" t="s">
        <v>170</v>
      </c>
    </row>
    <row r="19" spans="2:15" s="66" customFormat="1" ht="18" customHeight="1">
      <c r="B19" s="208" t="s">
        <v>16</v>
      </c>
      <c r="C19" s="282" t="s">
        <v>173</v>
      </c>
      <c r="D19" s="283">
        <v>66</v>
      </c>
      <c r="E19" s="284" t="s">
        <v>169</v>
      </c>
      <c r="F19" s="244"/>
      <c r="G19" s="242" t="str">
        <f t="shared" si="0"/>
        <v>UKS "SOKÓŁ"</v>
      </c>
      <c r="H19" s="242">
        <f>+E60</f>
        <v>0</v>
      </c>
      <c r="J19" s="243">
        <f t="shared" si="1"/>
      </c>
      <c r="L19" s="282" t="s">
        <v>174</v>
      </c>
      <c r="M19" s="283">
        <v>56</v>
      </c>
      <c r="N19" s="284" t="s">
        <v>150</v>
      </c>
      <c r="O19" s="284" t="s">
        <v>151</v>
      </c>
    </row>
    <row r="20" spans="2:15" s="66" customFormat="1" ht="18" customHeight="1">
      <c r="B20" s="79" t="s">
        <v>17</v>
      </c>
      <c r="C20" s="282" t="s">
        <v>175</v>
      </c>
      <c r="D20" s="283">
        <v>48</v>
      </c>
      <c r="E20" s="284" t="s">
        <v>176</v>
      </c>
      <c r="G20" s="242" t="str">
        <f t="shared" si="0"/>
        <v>LUKS "SKRZYSZÓW"</v>
      </c>
      <c r="H20" s="242" t="str">
        <f>+E59</f>
        <v>UKS LEPIETNICA</v>
      </c>
      <c r="J20" s="243">
        <f t="shared" si="1"/>
      </c>
      <c r="L20" s="282" t="s">
        <v>175</v>
      </c>
      <c r="M20" s="283">
        <v>48</v>
      </c>
      <c r="N20" s="284" t="s">
        <v>176</v>
      </c>
      <c r="O20" s="284" t="s">
        <v>177</v>
      </c>
    </row>
    <row r="21" spans="2:15" s="66" customFormat="1" ht="18" customHeight="1">
      <c r="B21" s="79" t="s">
        <v>18</v>
      </c>
      <c r="C21" s="282" t="s">
        <v>178</v>
      </c>
      <c r="D21" s="283">
        <v>48</v>
      </c>
      <c r="E21" s="284" t="s">
        <v>162</v>
      </c>
      <c r="G21" s="242" t="str">
        <f t="shared" si="0"/>
        <v>MKS TARNOVIA</v>
      </c>
      <c r="H21" s="242" t="str">
        <f>+E58</f>
        <v>UKS LEPIETNICA</v>
      </c>
      <c r="J21" s="243">
        <f t="shared" si="1"/>
      </c>
      <c r="L21" s="282" t="s">
        <v>178</v>
      </c>
      <c r="M21" s="283">
        <v>48</v>
      </c>
      <c r="N21" s="284" t="s">
        <v>162</v>
      </c>
      <c r="O21" s="284" t="s">
        <v>163</v>
      </c>
    </row>
    <row r="22" spans="2:15" s="66" customFormat="1" ht="18" customHeight="1">
      <c r="B22" s="79" t="s">
        <v>19</v>
      </c>
      <c r="C22" s="282" t="s">
        <v>179</v>
      </c>
      <c r="D22" s="283">
        <v>48</v>
      </c>
      <c r="E22" s="284" t="s">
        <v>165</v>
      </c>
      <c r="G22" s="242" t="str">
        <f t="shared" si="0"/>
        <v>OSKIR PODWAWELSKI</v>
      </c>
      <c r="H22" s="242" t="str">
        <f>+E57</f>
        <v>MKS KSOS</v>
      </c>
      <c r="J22" s="243">
        <f t="shared" si="1"/>
      </c>
      <c r="L22" s="282" t="s">
        <v>179</v>
      </c>
      <c r="M22" s="283">
        <v>48</v>
      </c>
      <c r="N22" s="284" t="s">
        <v>165</v>
      </c>
      <c r="O22" s="284" t="s">
        <v>166</v>
      </c>
    </row>
    <row r="23" spans="2:15" s="66" customFormat="1" ht="18" customHeight="1">
      <c r="B23" s="208" t="s">
        <v>20</v>
      </c>
      <c r="C23" s="282" t="s">
        <v>180</v>
      </c>
      <c r="D23" s="283">
        <v>44</v>
      </c>
      <c r="E23" s="284" t="s">
        <v>181</v>
      </c>
      <c r="F23" s="244"/>
      <c r="G23" s="242" t="str">
        <f t="shared" si="0"/>
        <v>MKS KSOS</v>
      </c>
      <c r="H23" s="242" t="str">
        <f>+E56</f>
        <v>UKS LEPIETNICA</v>
      </c>
      <c r="J23" s="243">
        <f t="shared" si="1"/>
      </c>
      <c r="K23" s="287"/>
      <c r="L23" s="282" t="s">
        <v>180</v>
      </c>
      <c r="M23" s="283">
        <v>44</v>
      </c>
      <c r="N23" s="284" t="s">
        <v>181</v>
      </c>
      <c r="O23" s="284" t="s">
        <v>166</v>
      </c>
    </row>
    <row r="24" spans="2:15" s="66" customFormat="1" ht="18" customHeight="1">
      <c r="B24" s="79" t="s">
        <v>21</v>
      </c>
      <c r="C24" s="282" t="s">
        <v>182</v>
      </c>
      <c r="D24" s="283">
        <v>34</v>
      </c>
      <c r="E24" s="284" t="s">
        <v>183</v>
      </c>
      <c r="G24" s="242" t="str">
        <f t="shared" si="0"/>
        <v>KS GORCE</v>
      </c>
      <c r="H24" s="242" t="str">
        <f>+E55</f>
        <v>UKS "ROKICIE"</v>
      </c>
      <c r="J24" s="243">
        <f t="shared" si="1"/>
      </c>
      <c r="L24" s="282" t="s">
        <v>182</v>
      </c>
      <c r="M24" s="283">
        <v>34</v>
      </c>
      <c r="N24" s="284" t="s">
        <v>183</v>
      </c>
      <c r="O24" s="284" t="s">
        <v>184</v>
      </c>
    </row>
    <row r="25" spans="2:15" s="66" customFormat="1" ht="18" customHeight="1">
      <c r="B25" s="79" t="s">
        <v>22</v>
      </c>
      <c r="C25" s="282" t="s">
        <v>188</v>
      </c>
      <c r="D25" s="283">
        <v>31</v>
      </c>
      <c r="E25" s="284" t="s">
        <v>165</v>
      </c>
      <c r="G25" s="242" t="str">
        <f t="shared" si="0"/>
        <v>OSKIR PODWAWELSKI</v>
      </c>
      <c r="H25" s="242" t="str">
        <f>+E54</f>
        <v>UKS GULON</v>
      </c>
      <c r="J25" s="243">
        <f t="shared" si="1"/>
      </c>
      <c r="L25" s="282" t="s">
        <v>185</v>
      </c>
      <c r="M25" s="283">
        <v>33</v>
      </c>
      <c r="N25" s="284" t="s">
        <v>186</v>
      </c>
      <c r="O25" s="284" t="s">
        <v>187</v>
      </c>
    </row>
    <row r="26" spans="2:15" s="66" customFormat="1" ht="18" customHeight="1">
      <c r="B26" s="79" t="s">
        <v>23</v>
      </c>
      <c r="C26" s="282" t="s">
        <v>185</v>
      </c>
      <c r="D26" s="283">
        <v>33</v>
      </c>
      <c r="E26" s="284" t="s">
        <v>186</v>
      </c>
      <c r="G26" s="242" t="str">
        <f t="shared" si="0"/>
        <v>UKS POLFIN</v>
      </c>
      <c r="H26" s="242" t="str">
        <f>+E53</f>
        <v>MKS TARNOVIA</v>
      </c>
      <c r="J26" s="243">
        <f t="shared" si="1"/>
      </c>
      <c r="L26" s="282" t="s">
        <v>188</v>
      </c>
      <c r="M26" s="283">
        <v>31</v>
      </c>
      <c r="N26" s="284" t="s">
        <v>165</v>
      </c>
      <c r="O26" s="284" t="s">
        <v>166</v>
      </c>
    </row>
    <row r="27" spans="2:15" s="66" customFormat="1" ht="18" customHeight="1">
      <c r="B27" s="208" t="s">
        <v>24</v>
      </c>
      <c r="C27" s="282" t="s">
        <v>189</v>
      </c>
      <c r="D27" s="283">
        <v>31</v>
      </c>
      <c r="E27" s="284" t="s">
        <v>190</v>
      </c>
      <c r="F27" s="244"/>
      <c r="G27" s="242" t="str">
        <f t="shared" si="0"/>
        <v>UKS ZARABIE</v>
      </c>
      <c r="H27" s="242" t="str">
        <f>+E52</f>
        <v>UKS "ROKICIE"</v>
      </c>
      <c r="J27" s="243">
        <f t="shared" si="1"/>
      </c>
      <c r="K27" s="287"/>
      <c r="L27" s="282" t="s">
        <v>189</v>
      </c>
      <c r="M27" s="283">
        <v>31</v>
      </c>
      <c r="N27" s="284" t="s">
        <v>190</v>
      </c>
      <c r="O27" s="284" t="s">
        <v>191</v>
      </c>
    </row>
    <row r="28" spans="2:15" s="66" customFormat="1" ht="18" customHeight="1">
      <c r="B28" s="79" t="s">
        <v>25</v>
      </c>
      <c r="C28" s="282" t="s">
        <v>196</v>
      </c>
      <c r="D28" s="283">
        <v>25</v>
      </c>
      <c r="E28" s="284" t="s">
        <v>197</v>
      </c>
      <c r="G28" s="242" t="str">
        <f t="shared" si="0"/>
        <v>KS BRONOWIANKA</v>
      </c>
      <c r="H28" s="242" t="str">
        <f>+E51</f>
        <v>UKS "SOKÓŁ"</v>
      </c>
      <c r="J28" s="243">
        <f t="shared" si="1"/>
      </c>
      <c r="L28" s="282" t="s">
        <v>192</v>
      </c>
      <c r="M28" s="283">
        <v>31</v>
      </c>
      <c r="N28" s="284" t="s">
        <v>193</v>
      </c>
      <c r="O28" s="284" t="s">
        <v>194</v>
      </c>
    </row>
    <row r="29" spans="2:15" s="66" customFormat="1" ht="18" customHeight="1">
      <c r="B29" s="79" t="s">
        <v>26</v>
      </c>
      <c r="C29" s="282" t="s">
        <v>198</v>
      </c>
      <c r="D29" s="283">
        <v>22</v>
      </c>
      <c r="E29" s="284" t="s">
        <v>153</v>
      </c>
      <c r="G29" s="242" t="str">
        <f t="shared" si="0"/>
        <v>KS SPEKTRUM</v>
      </c>
      <c r="H29" s="242" t="str">
        <f>+E50</f>
        <v>CKIS</v>
      </c>
      <c r="J29" s="243">
        <f t="shared" si="1"/>
      </c>
      <c r="L29" s="282" t="s">
        <v>195</v>
      </c>
      <c r="M29" s="283">
        <v>27</v>
      </c>
      <c r="N29" s="284" t="s">
        <v>159</v>
      </c>
      <c r="O29" s="284" t="s">
        <v>160</v>
      </c>
    </row>
    <row r="30" spans="2:15" s="66" customFormat="1" ht="18" customHeight="1">
      <c r="B30" s="79" t="s">
        <v>27</v>
      </c>
      <c r="C30" s="282" t="s">
        <v>195</v>
      </c>
      <c r="D30" s="283">
        <v>27</v>
      </c>
      <c r="E30" s="284" t="s">
        <v>159</v>
      </c>
      <c r="G30" s="242" t="str">
        <f t="shared" si="0"/>
        <v>UKS</v>
      </c>
      <c r="H30" s="242" t="str">
        <f>+E49</f>
        <v>MKS KSOS</v>
      </c>
      <c r="J30" s="243">
        <f t="shared" si="1"/>
      </c>
      <c r="L30" s="282" t="s">
        <v>196</v>
      </c>
      <c r="M30" s="283">
        <v>25</v>
      </c>
      <c r="N30" s="284" t="s">
        <v>197</v>
      </c>
      <c r="O30" s="284" t="s">
        <v>166</v>
      </c>
    </row>
    <row r="31" spans="2:15" s="66" customFormat="1" ht="18" customHeight="1">
      <c r="B31" s="208" t="s">
        <v>28</v>
      </c>
      <c r="C31" s="282" t="s">
        <v>192</v>
      </c>
      <c r="D31" s="283">
        <v>31</v>
      </c>
      <c r="E31" s="284" t="s">
        <v>193</v>
      </c>
      <c r="F31" s="244"/>
      <c r="G31" s="242" t="str">
        <f t="shared" si="0"/>
        <v>ULKS "LACHOWICE"</v>
      </c>
      <c r="H31" s="242" t="str">
        <f>+E48</f>
        <v>LUKS "SOBOLIK"</v>
      </c>
      <c r="J31" s="243">
        <f t="shared" si="1"/>
      </c>
      <c r="K31" s="287"/>
      <c r="L31" s="282" t="s">
        <v>198</v>
      </c>
      <c r="M31" s="283">
        <v>22</v>
      </c>
      <c r="N31" s="284" t="s">
        <v>153</v>
      </c>
      <c r="O31" s="284" t="s">
        <v>154</v>
      </c>
    </row>
    <row r="32" spans="2:15" s="66" customFormat="1" ht="18" customHeight="1">
      <c r="B32" s="79" t="s">
        <v>29</v>
      </c>
      <c r="C32" s="282" t="s">
        <v>202</v>
      </c>
      <c r="D32" s="283">
        <v>18</v>
      </c>
      <c r="E32" s="284" t="s">
        <v>181</v>
      </c>
      <c r="G32" s="242" t="str">
        <f t="shared" si="0"/>
        <v>MKS KSOS</v>
      </c>
      <c r="H32" s="242" t="str">
        <f>+E47</f>
        <v>UKS MAGNUM</v>
      </c>
      <c r="J32" s="243">
        <f t="shared" si="1"/>
      </c>
      <c r="L32" s="282" t="s">
        <v>199</v>
      </c>
      <c r="M32" s="283">
        <v>20</v>
      </c>
      <c r="N32" s="284" t="s">
        <v>183</v>
      </c>
      <c r="O32" s="284" t="s">
        <v>184</v>
      </c>
    </row>
    <row r="33" spans="2:15" s="66" customFormat="1" ht="18" customHeight="1">
      <c r="B33" s="79" t="s">
        <v>30</v>
      </c>
      <c r="C33" s="282" t="s">
        <v>204</v>
      </c>
      <c r="D33" s="283">
        <v>18</v>
      </c>
      <c r="E33" s="284" t="s">
        <v>190</v>
      </c>
      <c r="G33" s="242" t="str">
        <f t="shared" si="0"/>
        <v>UKS ZARABIE</v>
      </c>
      <c r="H33" s="242" t="str">
        <f>+E46</f>
        <v>UKS "SOKÓŁ"</v>
      </c>
      <c r="J33" s="243">
        <f t="shared" si="1"/>
      </c>
      <c r="L33" s="282" t="s">
        <v>200</v>
      </c>
      <c r="M33" s="283">
        <v>20</v>
      </c>
      <c r="N33" s="284" t="s">
        <v>150</v>
      </c>
      <c r="O33" s="284" t="s">
        <v>151</v>
      </c>
    </row>
    <row r="34" spans="2:15" s="66" customFormat="1" ht="18" customHeight="1">
      <c r="B34" s="79" t="s">
        <v>31</v>
      </c>
      <c r="C34" s="282" t="s">
        <v>205</v>
      </c>
      <c r="D34" s="283">
        <v>17</v>
      </c>
      <c r="E34" s="284" t="s">
        <v>190</v>
      </c>
      <c r="G34" s="242" t="str">
        <f t="shared" si="0"/>
        <v>UKS ZARABIE</v>
      </c>
      <c r="H34" s="242" t="str">
        <f>+E45</f>
        <v>UKS PŁOMIEŃ</v>
      </c>
      <c r="J34" s="243">
        <f t="shared" si="1"/>
      </c>
      <c r="L34" s="282" t="s">
        <v>201</v>
      </c>
      <c r="M34" s="283">
        <v>18</v>
      </c>
      <c r="N34" s="284" t="s">
        <v>176</v>
      </c>
      <c r="O34" s="284" t="s">
        <v>177</v>
      </c>
    </row>
    <row r="35" spans="2:15" s="66" customFormat="1" ht="18" customHeight="1">
      <c r="B35" s="79" t="s">
        <v>32</v>
      </c>
      <c r="C35" s="282" t="s">
        <v>199</v>
      </c>
      <c r="D35" s="283">
        <v>20</v>
      </c>
      <c r="E35" s="284" t="s">
        <v>183</v>
      </c>
      <c r="G35" s="242" t="str">
        <f t="shared" si="0"/>
        <v>KS GORCE</v>
      </c>
      <c r="H35" s="242" t="str">
        <f>+E44</f>
        <v>ULKS "LACHOWICE"</v>
      </c>
      <c r="J35" s="243">
        <f t="shared" si="1"/>
      </c>
      <c r="L35" s="282" t="s">
        <v>202</v>
      </c>
      <c r="M35" s="283">
        <v>18</v>
      </c>
      <c r="N35" s="284" t="s">
        <v>181</v>
      </c>
      <c r="O35" s="284" t="s">
        <v>166</v>
      </c>
    </row>
    <row r="36" spans="2:15" s="66" customFormat="1" ht="18" customHeight="1">
      <c r="B36" s="79" t="s">
        <v>33</v>
      </c>
      <c r="C36" s="282" t="s">
        <v>206</v>
      </c>
      <c r="D36" s="283">
        <v>15</v>
      </c>
      <c r="E36" s="284" t="s">
        <v>153</v>
      </c>
      <c r="G36" s="242" t="str">
        <f t="shared" si="0"/>
        <v>KS SPEKTRUM</v>
      </c>
      <c r="H36" s="242" t="str">
        <f>+E43</f>
        <v>UKS "ROKICIE"</v>
      </c>
      <c r="J36" s="243">
        <f t="shared" si="1"/>
      </c>
      <c r="L36" s="282" t="s">
        <v>203</v>
      </c>
      <c r="M36" s="283">
        <v>18</v>
      </c>
      <c r="N36" s="284" t="s">
        <v>186</v>
      </c>
      <c r="O36" s="284" t="s">
        <v>187</v>
      </c>
    </row>
    <row r="37" spans="2:15" s="66" customFormat="1" ht="18" customHeight="1">
      <c r="B37" s="79" t="s">
        <v>34</v>
      </c>
      <c r="C37" s="282" t="s">
        <v>203</v>
      </c>
      <c r="D37" s="283">
        <v>18</v>
      </c>
      <c r="E37" s="284" t="s">
        <v>186</v>
      </c>
      <c r="G37" s="242" t="str">
        <f t="shared" si="0"/>
        <v>UKS POLFIN</v>
      </c>
      <c r="H37" s="242" t="str">
        <f>+E42</f>
        <v>UKS "ROKICIE"</v>
      </c>
      <c r="J37" s="243">
        <f t="shared" si="1"/>
      </c>
      <c r="L37" s="282" t="s">
        <v>204</v>
      </c>
      <c r="M37" s="283">
        <v>18</v>
      </c>
      <c r="N37" s="284" t="s">
        <v>190</v>
      </c>
      <c r="O37" s="284" t="s">
        <v>191</v>
      </c>
    </row>
    <row r="38" spans="2:15" s="66" customFormat="1" ht="18" customHeight="1">
      <c r="B38" s="79" t="s">
        <v>35</v>
      </c>
      <c r="C38" s="282" t="s">
        <v>200</v>
      </c>
      <c r="D38" s="283">
        <v>20</v>
      </c>
      <c r="E38" s="284" t="s">
        <v>150</v>
      </c>
      <c r="G38" s="242" t="str">
        <f t="shared" si="0"/>
        <v>UKS PŁOMIEŃ</v>
      </c>
      <c r="H38" s="242" t="str">
        <f>+E41</f>
        <v>KS GORCE</v>
      </c>
      <c r="J38" s="243">
        <f t="shared" si="1"/>
      </c>
      <c r="L38" s="282" t="s">
        <v>205</v>
      </c>
      <c r="M38" s="283">
        <v>17</v>
      </c>
      <c r="N38" s="284" t="s">
        <v>190</v>
      </c>
      <c r="O38" s="284" t="s">
        <v>191</v>
      </c>
    </row>
    <row r="39" spans="2:15" s="66" customFormat="1" ht="18" customHeight="1">
      <c r="B39" s="208" t="s">
        <v>36</v>
      </c>
      <c r="C39" s="282" t="s">
        <v>201</v>
      </c>
      <c r="D39" s="283">
        <v>18</v>
      </c>
      <c r="E39" s="284" t="s">
        <v>176</v>
      </c>
      <c r="F39" s="244"/>
      <c r="G39" s="242" t="str">
        <f t="shared" si="0"/>
        <v>LUKS "SKRZYSZÓW"</v>
      </c>
      <c r="H39" s="242" t="str">
        <f>+E40</f>
        <v>KS SPEKTRUM</v>
      </c>
      <c r="J39" s="243">
        <f t="shared" si="1"/>
      </c>
      <c r="K39" s="287"/>
      <c r="L39" s="282" t="s">
        <v>206</v>
      </c>
      <c r="M39" s="283">
        <v>15</v>
      </c>
      <c r="N39" s="284" t="s">
        <v>153</v>
      </c>
      <c r="O39" s="284" t="s">
        <v>154</v>
      </c>
    </row>
    <row r="40" spans="2:15" s="66" customFormat="1" ht="18" customHeight="1">
      <c r="B40" s="79" t="s">
        <v>46</v>
      </c>
      <c r="C40" s="282" t="s">
        <v>207</v>
      </c>
      <c r="D40" s="283">
        <v>13</v>
      </c>
      <c r="E40" s="284" t="s">
        <v>153</v>
      </c>
      <c r="G40" s="242" t="str">
        <f t="shared" si="0"/>
        <v>KS SPEKTRUM</v>
      </c>
      <c r="H40" s="242" t="str">
        <f>+E39</f>
        <v>LUKS "SKRZYSZÓW"</v>
      </c>
      <c r="J40" s="243">
        <f t="shared" si="1"/>
      </c>
      <c r="L40" s="282" t="s">
        <v>207</v>
      </c>
      <c r="M40" s="283">
        <v>13</v>
      </c>
      <c r="N40" s="284" t="s">
        <v>153</v>
      </c>
      <c r="O40" s="284" t="s">
        <v>154</v>
      </c>
    </row>
    <row r="41" spans="2:15" s="66" customFormat="1" ht="18" customHeight="1">
      <c r="B41" s="79" t="s">
        <v>47</v>
      </c>
      <c r="C41" s="282" t="s">
        <v>212</v>
      </c>
      <c r="D41" s="283">
        <v>11</v>
      </c>
      <c r="E41" s="284" t="s">
        <v>183</v>
      </c>
      <c r="G41" s="242" t="str">
        <f t="shared" si="0"/>
        <v>KS GORCE</v>
      </c>
      <c r="H41" s="242" t="str">
        <f>+E38</f>
        <v>UKS PŁOMIEŃ</v>
      </c>
      <c r="J41" s="243">
        <f t="shared" si="1"/>
      </c>
      <c r="L41" s="282" t="s">
        <v>208</v>
      </c>
      <c r="M41" s="283">
        <v>13</v>
      </c>
      <c r="N41" s="284" t="s">
        <v>209</v>
      </c>
      <c r="O41" s="284" t="s">
        <v>210</v>
      </c>
    </row>
    <row r="42" spans="2:15" s="66" customFormat="1" ht="18" customHeight="1">
      <c r="B42" s="79" t="s">
        <v>48</v>
      </c>
      <c r="C42" s="282" t="s">
        <v>213</v>
      </c>
      <c r="D42" s="283">
        <v>11</v>
      </c>
      <c r="E42" s="284" t="s">
        <v>214</v>
      </c>
      <c r="G42" s="242" t="str">
        <f t="shared" si="0"/>
        <v>UKS "ROKICIE"</v>
      </c>
      <c r="H42" s="242" t="str">
        <f>+E37</f>
        <v>UKS POLFIN</v>
      </c>
      <c r="J42" s="243">
        <f t="shared" si="1"/>
      </c>
      <c r="L42" s="282" t="s">
        <v>211</v>
      </c>
      <c r="M42" s="283">
        <v>13</v>
      </c>
      <c r="N42" s="284" t="s">
        <v>193</v>
      </c>
      <c r="O42" s="284" t="s">
        <v>194</v>
      </c>
    </row>
    <row r="43" spans="2:15" s="66" customFormat="1" ht="18" customHeight="1">
      <c r="B43" s="79" t="s">
        <v>49</v>
      </c>
      <c r="C43" s="282" t="s">
        <v>216</v>
      </c>
      <c r="D43" s="283">
        <v>11</v>
      </c>
      <c r="E43" s="284" t="s">
        <v>214</v>
      </c>
      <c r="G43" s="242" t="str">
        <f t="shared" si="0"/>
        <v>UKS "ROKICIE"</v>
      </c>
      <c r="H43" s="242" t="str">
        <f>+E36</f>
        <v>KS SPEKTRUM</v>
      </c>
      <c r="J43" s="243">
        <f t="shared" si="1"/>
      </c>
      <c r="L43" s="282" t="s">
        <v>212</v>
      </c>
      <c r="M43" s="283">
        <v>11</v>
      </c>
      <c r="N43" s="284" t="s">
        <v>183</v>
      </c>
      <c r="O43" s="284" t="s">
        <v>184</v>
      </c>
    </row>
    <row r="44" spans="2:15" s="66" customFormat="1" ht="18" customHeight="1">
      <c r="B44" s="79" t="s">
        <v>50</v>
      </c>
      <c r="C44" s="282" t="s">
        <v>211</v>
      </c>
      <c r="D44" s="283">
        <v>13</v>
      </c>
      <c r="E44" s="284" t="s">
        <v>193</v>
      </c>
      <c r="G44" s="242" t="str">
        <f t="shared" si="0"/>
        <v>ULKS "LACHOWICE"</v>
      </c>
      <c r="H44" s="242" t="str">
        <f>+E35</f>
        <v>KS GORCE</v>
      </c>
      <c r="J44" s="243">
        <f t="shared" si="1"/>
      </c>
      <c r="L44" s="282" t="s">
        <v>213</v>
      </c>
      <c r="M44" s="283">
        <v>11</v>
      </c>
      <c r="N44" s="284" t="s">
        <v>214</v>
      </c>
      <c r="O44" s="284" t="s">
        <v>215</v>
      </c>
    </row>
    <row r="45" spans="2:15" s="66" customFormat="1" ht="18" customHeight="1">
      <c r="B45" s="79" t="s">
        <v>51</v>
      </c>
      <c r="C45" s="282" t="s">
        <v>218</v>
      </c>
      <c r="D45" s="283">
        <v>11</v>
      </c>
      <c r="E45" s="284" t="s">
        <v>150</v>
      </c>
      <c r="G45" s="242" t="str">
        <f t="shared" si="0"/>
        <v>UKS PŁOMIEŃ</v>
      </c>
      <c r="H45" s="242" t="str">
        <f>+E34</f>
        <v>UKS ZARABIE</v>
      </c>
      <c r="J45" s="243">
        <f t="shared" si="1"/>
      </c>
      <c r="L45" s="282" t="s">
        <v>216</v>
      </c>
      <c r="M45" s="283">
        <v>11</v>
      </c>
      <c r="N45" s="284" t="s">
        <v>214</v>
      </c>
      <c r="O45" s="284" t="s">
        <v>215</v>
      </c>
    </row>
    <row r="46" spans="2:15" s="66" customFormat="1" ht="18" customHeight="1">
      <c r="B46" s="79" t="s">
        <v>52</v>
      </c>
      <c r="C46" s="282" t="s">
        <v>217</v>
      </c>
      <c r="D46" s="283">
        <v>11</v>
      </c>
      <c r="E46" s="284" t="s">
        <v>169</v>
      </c>
      <c r="G46" s="242" t="str">
        <f t="shared" si="0"/>
        <v>UKS "SOKÓŁ"</v>
      </c>
      <c r="H46" s="242" t="str">
        <f>+E33</f>
        <v>UKS ZARABIE</v>
      </c>
      <c r="J46" s="243">
        <f t="shared" si="1"/>
      </c>
      <c r="L46" s="282" t="s">
        <v>217</v>
      </c>
      <c r="M46" s="283">
        <v>11</v>
      </c>
      <c r="N46" s="284" t="s">
        <v>169</v>
      </c>
      <c r="O46" s="284" t="s">
        <v>170</v>
      </c>
    </row>
    <row r="47" spans="2:15" s="66" customFormat="1" ht="18" customHeight="1">
      <c r="B47" s="79" t="s">
        <v>53</v>
      </c>
      <c r="C47" s="282" t="s">
        <v>208</v>
      </c>
      <c r="D47" s="283">
        <v>13</v>
      </c>
      <c r="E47" s="284" t="s">
        <v>209</v>
      </c>
      <c r="F47" s="288"/>
      <c r="G47" s="242" t="str">
        <f t="shared" si="0"/>
        <v>UKS MAGNUM</v>
      </c>
      <c r="H47" s="242" t="str">
        <f>+E32</f>
        <v>MKS KSOS</v>
      </c>
      <c r="J47" s="243">
        <f t="shared" si="1"/>
      </c>
      <c r="K47" s="287"/>
      <c r="L47" s="282" t="s">
        <v>218</v>
      </c>
      <c r="M47" s="283">
        <v>11</v>
      </c>
      <c r="N47" s="284" t="s">
        <v>150</v>
      </c>
      <c r="O47" s="284" t="s">
        <v>151</v>
      </c>
    </row>
    <row r="48" spans="2:15" s="66" customFormat="1" ht="18" customHeight="1">
      <c r="B48" s="79" t="s">
        <v>54</v>
      </c>
      <c r="C48" s="282" t="s">
        <v>220</v>
      </c>
      <c r="D48" s="283">
        <v>6</v>
      </c>
      <c r="E48" s="284" t="s">
        <v>221</v>
      </c>
      <c r="G48" s="242" t="str">
        <f t="shared" si="0"/>
        <v>LUKS "SOBOLIK"</v>
      </c>
      <c r="H48" s="242" t="str">
        <f>+E31</f>
        <v>ULKS "LACHOWICE"</v>
      </c>
      <c r="J48" s="243">
        <f t="shared" si="1"/>
      </c>
      <c r="L48" s="282" t="s">
        <v>219</v>
      </c>
      <c r="M48" s="283">
        <v>9</v>
      </c>
      <c r="N48" s="284" t="s">
        <v>214</v>
      </c>
      <c r="O48" s="284" t="s">
        <v>215</v>
      </c>
    </row>
    <row r="49" spans="2:15" s="66" customFormat="1" ht="18" customHeight="1">
      <c r="B49" s="79" t="s">
        <v>55</v>
      </c>
      <c r="C49" s="282" t="s">
        <v>223</v>
      </c>
      <c r="D49" s="283">
        <v>6</v>
      </c>
      <c r="E49" s="284" t="s">
        <v>181</v>
      </c>
      <c r="G49" s="242" t="str">
        <f t="shared" si="0"/>
        <v>MKS KSOS</v>
      </c>
      <c r="H49" s="242" t="str">
        <f>+E30</f>
        <v>UKS</v>
      </c>
      <c r="J49" s="243">
        <f t="shared" si="1"/>
      </c>
      <c r="L49" s="282" t="s">
        <v>220</v>
      </c>
      <c r="M49" s="283">
        <v>6</v>
      </c>
      <c r="N49" s="284" t="s">
        <v>221</v>
      </c>
      <c r="O49" s="284" t="s">
        <v>222</v>
      </c>
    </row>
    <row r="50" spans="2:15" s="66" customFormat="1" ht="18" customHeight="1">
      <c r="B50" s="79" t="s">
        <v>56</v>
      </c>
      <c r="C50" s="282" t="s">
        <v>225</v>
      </c>
      <c r="D50" s="283">
        <v>5</v>
      </c>
      <c r="E50" s="284" t="s">
        <v>226</v>
      </c>
      <c r="G50" s="242" t="str">
        <f t="shared" si="0"/>
        <v>CKIS</v>
      </c>
      <c r="H50" s="242" t="str">
        <f>+E29</f>
        <v>KS SPEKTRUM</v>
      </c>
      <c r="J50" s="243">
        <f t="shared" si="1"/>
      </c>
      <c r="L50" s="282" t="s">
        <v>223</v>
      </c>
      <c r="M50" s="283">
        <v>6</v>
      </c>
      <c r="N50" s="284" t="s">
        <v>181</v>
      </c>
      <c r="O50" s="284" t="s">
        <v>166</v>
      </c>
    </row>
    <row r="51" spans="2:15" s="66" customFormat="1" ht="18" customHeight="1">
      <c r="B51" s="79" t="s">
        <v>57</v>
      </c>
      <c r="C51" s="282" t="s">
        <v>224</v>
      </c>
      <c r="D51" s="283">
        <v>6</v>
      </c>
      <c r="E51" s="284" t="s">
        <v>169</v>
      </c>
      <c r="G51" s="242" t="str">
        <f t="shared" si="0"/>
        <v>UKS "SOKÓŁ"</v>
      </c>
      <c r="H51" s="242" t="str">
        <f>+E28</f>
        <v>KS BRONOWIANKA</v>
      </c>
      <c r="J51" s="243">
        <f t="shared" si="1"/>
      </c>
      <c r="L51" s="282" t="s">
        <v>224</v>
      </c>
      <c r="M51" s="283">
        <v>6</v>
      </c>
      <c r="N51" s="284" t="s">
        <v>169</v>
      </c>
      <c r="O51" s="284" t="s">
        <v>170</v>
      </c>
    </row>
    <row r="52" spans="2:15" s="66" customFormat="1" ht="18" customHeight="1">
      <c r="B52" s="79" t="s">
        <v>58</v>
      </c>
      <c r="C52" s="282" t="s">
        <v>219</v>
      </c>
      <c r="D52" s="283">
        <v>9</v>
      </c>
      <c r="E52" s="284" t="s">
        <v>214</v>
      </c>
      <c r="G52" s="242" t="str">
        <f t="shared" si="0"/>
        <v>UKS "ROKICIE"</v>
      </c>
      <c r="H52" s="242" t="str">
        <f>+E27</f>
        <v>UKS ZARABIE</v>
      </c>
      <c r="J52" s="243">
        <f t="shared" si="1"/>
      </c>
      <c r="L52" s="282" t="s">
        <v>225</v>
      </c>
      <c r="M52" s="283">
        <v>5</v>
      </c>
      <c r="N52" s="284" t="s">
        <v>226</v>
      </c>
      <c r="O52" s="284" t="s">
        <v>227</v>
      </c>
    </row>
    <row r="53" spans="2:15" s="66" customFormat="1" ht="18" customHeight="1">
      <c r="B53" s="79" t="s">
        <v>59</v>
      </c>
      <c r="C53" s="282" t="s">
        <v>228</v>
      </c>
      <c r="D53" s="283">
        <v>5</v>
      </c>
      <c r="E53" s="284" t="s">
        <v>162</v>
      </c>
      <c r="G53" s="242" t="str">
        <f t="shared" si="0"/>
        <v>MKS TARNOVIA</v>
      </c>
      <c r="H53" s="242" t="str">
        <f>+E26</f>
        <v>UKS POLFIN</v>
      </c>
      <c r="J53" s="243">
        <f t="shared" si="1"/>
      </c>
      <c r="L53" s="282" t="s">
        <v>228</v>
      </c>
      <c r="M53" s="283">
        <v>5</v>
      </c>
      <c r="N53" s="284" t="s">
        <v>162</v>
      </c>
      <c r="O53" s="284" t="s">
        <v>163</v>
      </c>
    </row>
    <row r="54" spans="2:15" s="66" customFormat="1" ht="18" customHeight="1">
      <c r="B54" s="79" t="s">
        <v>60</v>
      </c>
      <c r="C54" s="285" t="s">
        <v>231</v>
      </c>
      <c r="D54" s="286">
        <v>0</v>
      </c>
      <c r="E54" s="285" t="s">
        <v>232</v>
      </c>
      <c r="G54" s="242" t="str">
        <f t="shared" si="0"/>
        <v>UKS GULON</v>
      </c>
      <c r="H54" s="242" t="str">
        <f>+E25</f>
        <v>OSKIR PODWAWELSKI</v>
      </c>
      <c r="J54" s="243">
        <f t="shared" si="1"/>
      </c>
      <c r="L54" s="282" t="s">
        <v>229</v>
      </c>
      <c r="M54" s="283">
        <v>0</v>
      </c>
      <c r="N54" s="284" t="s">
        <v>181</v>
      </c>
      <c r="O54" s="284" t="s">
        <v>166</v>
      </c>
    </row>
    <row r="55" spans="2:15" s="66" customFormat="1" ht="18" customHeight="1">
      <c r="B55" s="208" t="s">
        <v>61</v>
      </c>
      <c r="C55" s="285" t="s">
        <v>230</v>
      </c>
      <c r="D55" s="286">
        <v>0</v>
      </c>
      <c r="E55" s="285" t="s">
        <v>214</v>
      </c>
      <c r="F55" s="244"/>
      <c r="G55" s="242" t="str">
        <f t="shared" si="0"/>
        <v>UKS "ROKICIE"</v>
      </c>
      <c r="H55" s="242" t="str">
        <f>+E24</f>
        <v>KS GORCE</v>
      </c>
      <c r="J55" s="243">
        <f t="shared" si="1"/>
      </c>
      <c r="L55" s="285" t="s">
        <v>230</v>
      </c>
      <c r="M55" s="286">
        <v>0</v>
      </c>
      <c r="N55" s="285" t="s">
        <v>214</v>
      </c>
      <c r="O55" s="285" t="s">
        <v>215</v>
      </c>
    </row>
    <row r="56" spans="2:15" s="66" customFormat="1" ht="18" customHeight="1">
      <c r="B56" s="79" t="s">
        <v>62</v>
      </c>
      <c r="C56" s="285" t="s">
        <v>233</v>
      </c>
      <c r="D56" s="286">
        <v>0</v>
      </c>
      <c r="E56" s="285" t="s">
        <v>234</v>
      </c>
      <c r="G56" s="242" t="str">
        <f t="shared" si="0"/>
        <v>UKS LEPIETNICA</v>
      </c>
      <c r="H56" s="242" t="str">
        <f>+E23</f>
        <v>MKS KSOS</v>
      </c>
      <c r="J56" s="243">
        <f t="shared" si="1"/>
      </c>
      <c r="L56" s="285" t="s">
        <v>231</v>
      </c>
      <c r="M56" s="286">
        <v>0</v>
      </c>
      <c r="N56" s="285" t="s">
        <v>232</v>
      </c>
      <c r="O56" s="285"/>
    </row>
    <row r="57" spans="2:15" s="66" customFormat="1" ht="18" customHeight="1">
      <c r="B57" s="79" t="s">
        <v>63</v>
      </c>
      <c r="C57" s="282" t="s">
        <v>229</v>
      </c>
      <c r="D57" s="283">
        <v>0</v>
      </c>
      <c r="E57" s="284" t="s">
        <v>181</v>
      </c>
      <c r="G57" s="242" t="str">
        <f t="shared" si="0"/>
        <v>MKS KSOS</v>
      </c>
      <c r="H57" s="242" t="str">
        <f>+E22</f>
        <v>OSKIR PODWAWELSKI</v>
      </c>
      <c r="J57" s="243">
        <f t="shared" si="1"/>
      </c>
      <c r="L57" s="285" t="s">
        <v>233</v>
      </c>
      <c r="M57" s="286">
        <v>0</v>
      </c>
      <c r="N57" s="285" t="s">
        <v>234</v>
      </c>
      <c r="O57" s="285" t="s">
        <v>235</v>
      </c>
    </row>
    <row r="58" spans="2:15" s="66" customFormat="1" ht="18" customHeight="1">
      <c r="B58" s="79" t="s">
        <v>64</v>
      </c>
      <c r="C58" s="285" t="s">
        <v>237</v>
      </c>
      <c r="D58" s="286">
        <v>0</v>
      </c>
      <c r="E58" s="285" t="s">
        <v>234</v>
      </c>
      <c r="G58" s="242" t="str">
        <f t="shared" si="0"/>
        <v>UKS LEPIETNICA</v>
      </c>
      <c r="H58" s="242" t="str">
        <f>+E21</f>
        <v>MKS TARNOVIA</v>
      </c>
      <c r="J58" s="243">
        <f t="shared" si="1"/>
      </c>
      <c r="L58" s="285" t="s">
        <v>236</v>
      </c>
      <c r="M58" s="286">
        <v>0</v>
      </c>
      <c r="N58" s="285" t="s">
        <v>234</v>
      </c>
      <c r="O58" s="285" t="s">
        <v>235</v>
      </c>
    </row>
    <row r="59" spans="2:15" s="66" customFormat="1" ht="18" customHeight="1">
      <c r="B59" s="79" t="s">
        <v>65</v>
      </c>
      <c r="C59" s="285" t="s">
        <v>236</v>
      </c>
      <c r="D59" s="286">
        <v>0</v>
      </c>
      <c r="E59" s="285" t="s">
        <v>234</v>
      </c>
      <c r="G59" s="242" t="str">
        <f t="shared" si="0"/>
        <v>UKS LEPIETNICA</v>
      </c>
      <c r="H59" s="242" t="str">
        <f>+E20</f>
        <v>LUKS "SKRZYSZÓW"</v>
      </c>
      <c r="J59" s="243">
        <f t="shared" si="1"/>
      </c>
      <c r="L59" s="285" t="s">
        <v>237</v>
      </c>
      <c r="M59" s="286">
        <v>0</v>
      </c>
      <c r="N59" s="285" t="s">
        <v>234</v>
      </c>
      <c r="O59" s="285" t="s">
        <v>235</v>
      </c>
    </row>
    <row r="60" spans="2:14" s="66" customFormat="1" ht="18" customHeight="1">
      <c r="B60" s="79" t="s">
        <v>66</v>
      </c>
      <c r="C60" s="269"/>
      <c r="D60" s="80"/>
      <c r="E60" s="268"/>
      <c r="G60" s="242">
        <f t="shared" si="0"/>
        <v>0</v>
      </c>
      <c r="H60" s="242" t="str">
        <f>+E19</f>
        <v>UKS "SOKÓŁ"</v>
      </c>
      <c r="J60" s="243">
        <f t="shared" si="1"/>
      </c>
      <c r="L60" s="274"/>
      <c r="M60" s="275"/>
      <c r="N60" s="268"/>
    </row>
    <row r="61" spans="2:14" s="66" customFormat="1" ht="18" customHeight="1">
      <c r="B61" s="79" t="s">
        <v>67</v>
      </c>
      <c r="C61" s="269"/>
      <c r="D61" s="80"/>
      <c r="E61" s="268"/>
      <c r="G61" s="242">
        <f t="shared" si="0"/>
        <v>0</v>
      </c>
      <c r="H61" s="242" t="str">
        <f>+E18</f>
        <v>UKS PŁOMIEŃ</v>
      </c>
      <c r="J61" s="243">
        <f t="shared" si="1"/>
      </c>
      <c r="L61" s="274"/>
      <c r="M61" s="275"/>
      <c r="N61" s="268"/>
    </row>
    <row r="62" spans="2:14" s="66" customFormat="1" ht="18" customHeight="1">
      <c r="B62" s="79" t="s">
        <v>68</v>
      </c>
      <c r="C62" s="269"/>
      <c r="D62" s="80"/>
      <c r="E62" s="268"/>
      <c r="G62" s="242">
        <f t="shared" si="0"/>
        <v>0</v>
      </c>
      <c r="H62" s="242" t="str">
        <f>+E17</f>
        <v>UKS</v>
      </c>
      <c r="J62" s="243">
        <f t="shared" si="1"/>
      </c>
      <c r="L62" s="274"/>
      <c r="M62" s="275"/>
      <c r="N62" s="268"/>
    </row>
    <row r="63" spans="2:14" s="66" customFormat="1" ht="18" customHeight="1">
      <c r="B63" s="79" t="s">
        <v>69</v>
      </c>
      <c r="C63" s="269"/>
      <c r="D63" s="80"/>
      <c r="E63" s="268"/>
      <c r="G63" s="242">
        <f t="shared" si="0"/>
        <v>0</v>
      </c>
      <c r="H63" s="242" t="str">
        <f>+E16</f>
        <v>MKS TARNOVIA</v>
      </c>
      <c r="J63" s="243">
        <f t="shared" si="1"/>
      </c>
      <c r="L63" s="274"/>
      <c r="M63" s="275"/>
      <c r="N63" s="268"/>
    </row>
    <row r="64" spans="2:14" s="66" customFormat="1" ht="18" customHeight="1">
      <c r="B64" s="79" t="s">
        <v>70</v>
      </c>
      <c r="C64" s="269"/>
      <c r="D64" s="80"/>
      <c r="E64" s="268"/>
      <c r="G64" s="242">
        <f t="shared" si="0"/>
        <v>0</v>
      </c>
      <c r="H64" s="242" t="str">
        <f>+E15</f>
        <v>KS SPEKTRUM</v>
      </c>
      <c r="J64" s="243">
        <f t="shared" si="1"/>
      </c>
      <c r="L64" s="274"/>
      <c r="M64" s="275"/>
      <c r="N64" s="268"/>
    </row>
    <row r="65" spans="2:14" s="66" customFormat="1" ht="18" customHeight="1">
      <c r="B65" s="79" t="s">
        <v>71</v>
      </c>
      <c r="C65" s="269"/>
      <c r="D65" s="80"/>
      <c r="E65" s="268"/>
      <c r="G65" s="242">
        <f t="shared" si="0"/>
        <v>0</v>
      </c>
      <c r="H65" s="242" t="str">
        <f>+E14</f>
        <v>UKS "SOKÓŁ"</v>
      </c>
      <c r="J65" s="243">
        <f t="shared" si="1"/>
      </c>
      <c r="L65" s="274"/>
      <c r="M65" s="275"/>
      <c r="N65" s="268"/>
    </row>
    <row r="66" spans="2:14" s="66" customFormat="1" ht="18" customHeight="1">
      <c r="B66" s="79" t="s">
        <v>72</v>
      </c>
      <c r="C66" s="269"/>
      <c r="D66" s="80"/>
      <c r="E66" s="268"/>
      <c r="G66" s="242">
        <f t="shared" si="0"/>
        <v>0</v>
      </c>
      <c r="H66" s="242" t="str">
        <f>+E13</f>
        <v>MKS TARNOVIA</v>
      </c>
      <c r="J66" s="243">
        <f t="shared" si="1"/>
      </c>
      <c r="L66" s="274"/>
      <c r="M66" s="275"/>
      <c r="N66" s="268"/>
    </row>
    <row r="67" spans="2:14" s="66" customFormat="1" ht="18" customHeight="1">
      <c r="B67" s="79" t="s">
        <v>73</v>
      </c>
      <c r="C67" s="269"/>
      <c r="D67" s="80"/>
      <c r="E67" s="268"/>
      <c r="G67" s="242">
        <f t="shared" si="0"/>
        <v>0</v>
      </c>
      <c r="H67" s="242" t="str">
        <f>+E12</f>
        <v>OSKIR PODWAWELSKI</v>
      </c>
      <c r="J67" s="243">
        <f t="shared" si="1"/>
      </c>
      <c r="L67" s="274"/>
      <c r="M67" s="275"/>
      <c r="N67" s="268"/>
    </row>
    <row r="68" spans="2:14" s="66" customFormat="1" ht="18" customHeight="1">
      <c r="B68" s="79" t="s">
        <v>74</v>
      </c>
      <c r="C68" s="269"/>
      <c r="D68" s="80"/>
      <c r="E68" s="268"/>
      <c r="G68" s="242">
        <f t="shared" si="0"/>
        <v>0</v>
      </c>
      <c r="H68" s="242" t="str">
        <f>+E11</f>
        <v>MKS "SKAWA"</v>
      </c>
      <c r="J68" s="243">
        <f t="shared" si="1"/>
      </c>
      <c r="L68" s="274"/>
      <c r="M68" s="275"/>
      <c r="N68" s="268"/>
    </row>
    <row r="69" spans="2:14" s="66" customFormat="1" ht="18" customHeight="1">
      <c r="B69" s="79" t="s">
        <v>75</v>
      </c>
      <c r="C69" s="269"/>
      <c r="D69" s="80"/>
      <c r="E69" s="268"/>
      <c r="G69" s="242">
        <f t="shared" si="0"/>
        <v>0</v>
      </c>
      <c r="H69" s="242" t="str">
        <f>+E10</f>
        <v>UKS</v>
      </c>
      <c r="J69" s="243">
        <f t="shared" si="1"/>
      </c>
      <c r="L69" s="274"/>
      <c r="M69" s="275"/>
      <c r="N69" s="268"/>
    </row>
    <row r="70" spans="2:14" s="66" customFormat="1" ht="18" customHeight="1">
      <c r="B70" s="79" t="s">
        <v>76</v>
      </c>
      <c r="C70" s="269"/>
      <c r="D70" s="80"/>
      <c r="E70" s="268"/>
      <c r="G70" s="242">
        <f t="shared" si="0"/>
        <v>0</v>
      </c>
      <c r="H70" s="242" t="str">
        <f>+E9</f>
        <v>KS SPEKTRUM</v>
      </c>
      <c r="J70" s="243">
        <f t="shared" si="1"/>
      </c>
      <c r="L70" s="274"/>
      <c r="M70" s="275"/>
      <c r="N70" s="268"/>
    </row>
    <row r="71" spans="2:14" s="66" customFormat="1" ht="18" customHeight="1" thickBot="1">
      <c r="B71" s="208" t="s">
        <v>77</v>
      </c>
      <c r="C71" s="270"/>
      <c r="D71" s="271"/>
      <c r="E71" s="272"/>
      <c r="F71" s="244"/>
      <c r="G71" s="242">
        <f t="shared" si="0"/>
        <v>0</v>
      </c>
      <c r="H71" s="242" t="str">
        <f>+E8</f>
        <v>UKS PŁOMIEŃ</v>
      </c>
      <c r="J71" s="243">
        <f t="shared" si="1"/>
      </c>
      <c r="L71" s="276"/>
      <c r="M71" s="277"/>
      <c r="N71" s="272"/>
    </row>
    <row r="72" spans="2:4" s="66" customFormat="1" ht="24.75" customHeight="1">
      <c r="B72" s="67"/>
      <c r="C72" s="155"/>
      <c r="D72" s="68"/>
    </row>
    <row r="73" spans="3:5" s="70" customFormat="1" ht="24.75" customHeight="1">
      <c r="C73" s="156"/>
      <c r="E73" s="90"/>
    </row>
    <row r="74" spans="2:9" s="66" customFormat="1" ht="19.5" customHeight="1">
      <c r="B74" s="67"/>
      <c r="G74" s="278" t="s">
        <v>147</v>
      </c>
      <c r="H74" s="279"/>
      <c r="I74" s="280" t="s">
        <v>148</v>
      </c>
    </row>
    <row r="75" spans="2:9" s="66" customFormat="1" ht="19.5" customHeight="1">
      <c r="B75" s="67"/>
      <c r="G75" s="230"/>
      <c r="H75" s="281"/>
      <c r="I75" s="280" t="s">
        <v>148</v>
      </c>
    </row>
    <row r="76" spans="2:4" s="66" customFormat="1" ht="19.5" customHeight="1">
      <c r="B76" s="67"/>
      <c r="C76" s="155"/>
      <c r="D76" s="68"/>
    </row>
    <row r="77" spans="2:4" s="66" customFormat="1" ht="19.5" customHeight="1">
      <c r="B77" s="67"/>
      <c r="C77" s="155"/>
      <c r="D77" s="68"/>
    </row>
    <row r="78" spans="2:4" s="66" customFormat="1" ht="19.5" customHeight="1">
      <c r="B78" s="67"/>
      <c r="C78" s="155"/>
      <c r="D78" s="68"/>
    </row>
    <row r="79" spans="2:4" s="66" customFormat="1" ht="19.5" customHeight="1">
      <c r="B79" s="67"/>
      <c r="C79" s="155"/>
      <c r="D79" s="68"/>
    </row>
    <row r="80" spans="2:4" s="66" customFormat="1" ht="19.5" customHeight="1">
      <c r="B80" s="67"/>
      <c r="C80" s="155"/>
      <c r="D80" s="68"/>
    </row>
    <row r="81" spans="2:4" s="66" customFormat="1" ht="19.5" customHeight="1">
      <c r="B81" s="67"/>
      <c r="C81" s="155"/>
      <c r="D81" s="68"/>
    </row>
    <row r="82" spans="2:4" s="66" customFormat="1" ht="19.5" customHeight="1">
      <c r="B82" s="67"/>
      <c r="C82" s="155"/>
      <c r="D82" s="68"/>
    </row>
    <row r="83" spans="2:4" s="66" customFormat="1" ht="19.5" customHeight="1">
      <c r="B83" s="67"/>
      <c r="C83" s="155"/>
      <c r="D83" s="68"/>
    </row>
    <row r="84" spans="2:4" s="66" customFormat="1" ht="19.5" customHeight="1">
      <c r="B84" s="67"/>
      <c r="C84" s="155"/>
      <c r="D84" s="68"/>
    </row>
    <row r="85" spans="2:4" s="66" customFormat="1" ht="19.5" customHeight="1">
      <c r="B85" s="67"/>
      <c r="C85" s="155"/>
      <c r="D85" s="68"/>
    </row>
    <row r="86" spans="2:4" s="66" customFormat="1" ht="19.5" customHeight="1">
      <c r="B86" s="67"/>
      <c r="C86" s="155"/>
      <c r="D86" s="68"/>
    </row>
    <row r="87" spans="2:4" s="66" customFormat="1" ht="19.5" customHeight="1">
      <c r="B87" s="67"/>
      <c r="C87" s="155"/>
      <c r="D87" s="68"/>
    </row>
    <row r="88" spans="2:4" s="66" customFormat="1" ht="19.5" customHeight="1">
      <c r="B88" s="67"/>
      <c r="C88" s="155"/>
      <c r="D88" s="68"/>
    </row>
    <row r="89" spans="2:4" s="66" customFormat="1" ht="19.5" customHeight="1">
      <c r="B89" s="67"/>
      <c r="C89" s="155"/>
      <c r="D89" s="68"/>
    </row>
    <row r="90" spans="2:4" s="66" customFormat="1" ht="19.5" customHeight="1">
      <c r="B90" s="67"/>
      <c r="C90" s="155"/>
      <c r="D90" s="68"/>
    </row>
    <row r="91" spans="2:4" s="66" customFormat="1" ht="19.5" customHeight="1">
      <c r="B91" s="67"/>
      <c r="C91" s="155"/>
      <c r="D91" s="68"/>
    </row>
    <row r="92" spans="2:4" s="66" customFormat="1" ht="19.5" customHeight="1">
      <c r="B92" s="67"/>
      <c r="C92" s="155"/>
      <c r="D92" s="68"/>
    </row>
    <row r="93" spans="2:4" s="66" customFormat="1" ht="19.5" customHeight="1">
      <c r="B93" s="67"/>
      <c r="C93" s="155"/>
      <c r="D93" s="68"/>
    </row>
    <row r="94" spans="2:4" s="66" customFormat="1" ht="19.5" customHeight="1">
      <c r="B94" s="67"/>
      <c r="C94" s="155"/>
      <c r="D94" s="68"/>
    </row>
    <row r="95" spans="2:4" s="66" customFormat="1" ht="19.5" customHeight="1">
      <c r="B95" s="67"/>
      <c r="C95" s="155"/>
      <c r="D95" s="68"/>
    </row>
    <row r="96" spans="2:4" s="66" customFormat="1" ht="19.5" customHeight="1">
      <c r="B96" s="67"/>
      <c r="C96" s="155"/>
      <c r="D96" s="68"/>
    </row>
    <row r="97" spans="2:4" s="66" customFormat="1" ht="19.5" customHeight="1">
      <c r="B97" s="67"/>
      <c r="C97" s="155"/>
      <c r="D97" s="68"/>
    </row>
    <row r="98" spans="2:4" s="66" customFormat="1" ht="19.5" customHeight="1">
      <c r="B98" s="67"/>
      <c r="C98" s="155"/>
      <c r="D98" s="68"/>
    </row>
    <row r="99" spans="2:4" s="66" customFormat="1" ht="19.5" customHeight="1">
      <c r="B99" s="67"/>
      <c r="C99" s="155"/>
      <c r="D99" s="68"/>
    </row>
    <row r="100" spans="2:4" s="66" customFormat="1" ht="19.5" customHeight="1">
      <c r="B100" s="67"/>
      <c r="C100" s="155"/>
      <c r="D100" s="68"/>
    </row>
    <row r="101" spans="2:4" s="66" customFormat="1" ht="19.5" customHeight="1">
      <c r="B101" s="67"/>
      <c r="C101" s="155"/>
      <c r="D101" s="68"/>
    </row>
    <row r="102" spans="2:4" s="66" customFormat="1" ht="19.5" customHeight="1">
      <c r="B102" s="67"/>
      <c r="C102" s="155"/>
      <c r="D102" s="68"/>
    </row>
    <row r="103" spans="2:4" s="66" customFormat="1" ht="19.5" customHeight="1">
      <c r="B103" s="67"/>
      <c r="C103" s="155"/>
      <c r="D103" s="68"/>
    </row>
    <row r="104" spans="2:4" s="66" customFormat="1" ht="19.5" customHeight="1">
      <c r="B104" s="67"/>
      <c r="C104" s="155"/>
      <c r="D104" s="68"/>
    </row>
    <row r="105" spans="2:4" s="66" customFormat="1" ht="19.5" customHeight="1">
      <c r="B105" s="67"/>
      <c r="C105" s="155"/>
      <c r="D105" s="68"/>
    </row>
    <row r="106" spans="2:4" s="66" customFormat="1" ht="19.5" customHeight="1">
      <c r="B106" s="67"/>
      <c r="C106" s="155"/>
      <c r="D106" s="68"/>
    </row>
    <row r="107" spans="2:4" s="66" customFormat="1" ht="19.5" customHeight="1">
      <c r="B107" s="67"/>
      <c r="C107" s="155"/>
      <c r="D107" s="68"/>
    </row>
    <row r="108" spans="2:4" s="66" customFormat="1" ht="19.5" customHeight="1">
      <c r="B108" s="67"/>
      <c r="C108" s="155"/>
      <c r="D108" s="68"/>
    </row>
    <row r="109" spans="2:4" s="66" customFormat="1" ht="19.5" customHeight="1">
      <c r="B109" s="67"/>
      <c r="C109" s="155"/>
      <c r="D109" s="68"/>
    </row>
    <row r="110" spans="2:4" s="66" customFormat="1" ht="19.5" customHeight="1">
      <c r="B110" s="67"/>
      <c r="C110" s="155"/>
      <c r="D110" s="68"/>
    </row>
    <row r="111" spans="2:4" s="66" customFormat="1" ht="19.5" customHeight="1">
      <c r="B111" s="67"/>
      <c r="C111" s="155"/>
      <c r="D111" s="68"/>
    </row>
    <row r="112" spans="2:4" s="66" customFormat="1" ht="19.5" customHeight="1">
      <c r="B112" s="67"/>
      <c r="C112" s="155"/>
      <c r="D112" s="68"/>
    </row>
    <row r="113" spans="2:4" s="66" customFormat="1" ht="19.5" customHeight="1">
      <c r="B113" s="67"/>
      <c r="C113" s="155"/>
      <c r="D113" s="68"/>
    </row>
    <row r="114" spans="2:4" s="66" customFormat="1" ht="19.5" customHeight="1">
      <c r="B114" s="67"/>
      <c r="C114" s="155"/>
      <c r="D114" s="68"/>
    </row>
    <row r="115" spans="2:4" s="66" customFormat="1" ht="21">
      <c r="B115" s="67"/>
      <c r="C115" s="155"/>
      <c r="D115" s="68"/>
    </row>
    <row r="116" spans="2:4" s="66" customFormat="1" ht="21">
      <c r="B116" s="67"/>
      <c r="C116" s="155"/>
      <c r="D116" s="68"/>
    </row>
    <row r="117" spans="2:4" s="66" customFormat="1" ht="21">
      <c r="B117" s="67"/>
      <c r="C117" s="155"/>
      <c r="D117" s="68"/>
    </row>
    <row r="118" spans="2:4" s="66" customFormat="1" ht="21">
      <c r="B118" s="67"/>
      <c r="C118" s="155"/>
      <c r="D118" s="68"/>
    </row>
    <row r="119" spans="2:4" s="66" customFormat="1" ht="21">
      <c r="B119" s="67"/>
      <c r="C119" s="155"/>
      <c r="D119" s="68"/>
    </row>
    <row r="120" spans="2:4" s="66" customFormat="1" ht="21">
      <c r="B120" s="67"/>
      <c r="C120" s="155"/>
      <c r="D120" s="68"/>
    </row>
    <row r="121" spans="2:4" s="66" customFormat="1" ht="21">
      <c r="B121" s="67"/>
      <c r="C121" s="155"/>
      <c r="D121" s="68"/>
    </row>
    <row r="122" spans="2:4" s="66" customFormat="1" ht="21">
      <c r="B122" s="67"/>
      <c r="C122" s="155"/>
      <c r="D122" s="68"/>
    </row>
    <row r="123" spans="2:4" s="66" customFormat="1" ht="21">
      <c r="B123" s="67"/>
      <c r="C123" s="155"/>
      <c r="D123" s="68"/>
    </row>
    <row r="124" spans="2:4" s="66" customFormat="1" ht="21">
      <c r="B124" s="67"/>
      <c r="C124" s="155"/>
      <c r="D124" s="68"/>
    </row>
    <row r="125" spans="2:4" s="66" customFormat="1" ht="21">
      <c r="B125" s="67"/>
      <c r="C125" s="155"/>
      <c r="D125" s="68"/>
    </row>
    <row r="126" spans="2:4" s="66" customFormat="1" ht="21">
      <c r="B126" s="67"/>
      <c r="C126" s="155"/>
      <c r="D126" s="68"/>
    </row>
    <row r="127" spans="2:4" s="66" customFormat="1" ht="21">
      <c r="B127" s="67"/>
      <c r="C127" s="155"/>
      <c r="D127" s="68"/>
    </row>
    <row r="128" spans="2:4" s="66" customFormat="1" ht="21">
      <c r="B128" s="67"/>
      <c r="C128" s="155"/>
      <c r="D128" s="68"/>
    </row>
    <row r="129" spans="2:4" s="66" customFormat="1" ht="21">
      <c r="B129" s="67"/>
      <c r="C129" s="155"/>
      <c r="D129" s="68"/>
    </row>
    <row r="130" spans="2:4" s="66" customFormat="1" ht="21">
      <c r="B130" s="67"/>
      <c r="C130" s="155"/>
      <c r="D130" s="68"/>
    </row>
    <row r="131" spans="2:4" s="66" customFormat="1" ht="21">
      <c r="B131" s="67"/>
      <c r="C131" s="155"/>
      <c r="D131" s="68"/>
    </row>
    <row r="132" spans="2:4" s="66" customFormat="1" ht="21">
      <c r="B132" s="67"/>
      <c r="C132" s="155"/>
      <c r="D132" s="68"/>
    </row>
    <row r="133" spans="2:4" s="66" customFormat="1" ht="21">
      <c r="B133" s="67"/>
      <c r="C133" s="155"/>
      <c r="D133" s="68"/>
    </row>
    <row r="134" spans="2:4" s="66" customFormat="1" ht="21">
      <c r="B134" s="67"/>
      <c r="C134" s="155"/>
      <c r="D134" s="68"/>
    </row>
    <row r="135" spans="2:4" s="66" customFormat="1" ht="21">
      <c r="B135" s="67"/>
      <c r="C135" s="155"/>
      <c r="D135" s="68"/>
    </row>
    <row r="136" spans="2:4" s="66" customFormat="1" ht="21">
      <c r="B136" s="67"/>
      <c r="C136" s="155"/>
      <c r="D136" s="68"/>
    </row>
    <row r="137" spans="2:4" s="66" customFormat="1" ht="21">
      <c r="B137" s="67"/>
      <c r="C137" s="155"/>
      <c r="D137" s="68"/>
    </row>
    <row r="138" spans="2:4" s="66" customFormat="1" ht="21">
      <c r="B138" s="67"/>
      <c r="C138" s="155"/>
      <c r="D138" s="68"/>
    </row>
    <row r="139" spans="2:4" s="66" customFormat="1" ht="21">
      <c r="B139" s="67"/>
      <c r="C139" s="155"/>
      <c r="D139" s="68"/>
    </row>
    <row r="140" spans="2:4" s="66" customFormat="1" ht="21">
      <c r="B140" s="67"/>
      <c r="C140" s="155"/>
      <c r="D140" s="68"/>
    </row>
  </sheetData>
  <sheetProtection selectLockedCells="1" selectUnlockedCells="1"/>
  <mergeCells count="4">
    <mergeCell ref="L6:N6"/>
    <mergeCell ref="A1:F1"/>
    <mergeCell ref="C3:D3"/>
    <mergeCell ref="C4:D4"/>
  </mergeCells>
  <printOptions horizontalCentered="1"/>
  <pageMargins left="0.3937007874015748" right="0.3937007874015748" top="0.2362204724409449" bottom="0.3937007874015748" header="0" footer="0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74"/>
  <sheetViews>
    <sheetView zoomScale="50" zoomScaleNormal="50" zoomScalePageLayoutView="0" workbookViewId="0" topLeftCell="A116">
      <selection activeCell="U163" sqref="U163"/>
    </sheetView>
  </sheetViews>
  <sheetFormatPr defaultColWidth="9.140625" defaultRowHeight="12.75"/>
  <cols>
    <col min="1" max="2" width="4.57421875" style="10" customWidth="1"/>
    <col min="3" max="3" width="24.28125" style="46" customWidth="1"/>
    <col min="4" max="5" width="4.57421875" style="10" customWidth="1"/>
    <col min="6" max="6" width="24.28125" style="46" customWidth="1"/>
    <col min="7" max="8" width="4.57421875" style="10" customWidth="1"/>
    <col min="9" max="9" width="24.28125" style="46" customWidth="1"/>
    <col min="10" max="10" width="4.57421875" style="10" customWidth="1"/>
    <col min="11" max="11" width="4.57421875" style="137" customWidth="1"/>
    <col min="12" max="12" width="24.28125" style="46" customWidth="1"/>
    <col min="13" max="14" width="4.57421875" style="10" customWidth="1"/>
    <col min="15" max="15" width="24.28125" style="46" customWidth="1"/>
    <col min="16" max="17" width="4.57421875" style="10" customWidth="1"/>
    <col min="18" max="18" width="24.28125" style="46" customWidth="1"/>
    <col min="19" max="20" width="4.57421875" style="10" customWidth="1"/>
    <col min="21" max="21" width="24.28125" style="46" customWidth="1"/>
    <col min="22" max="23" width="4.57421875" style="10" customWidth="1"/>
    <col min="24" max="24" width="24.28125" style="46" customWidth="1"/>
    <col min="25" max="25" width="4.57421875" style="10" customWidth="1"/>
    <col min="26" max="26" width="4.7109375" style="46" customWidth="1"/>
    <col min="27" max="27" width="2.8515625" style="9" customWidth="1"/>
    <col min="28" max="28" width="24.140625" style="10" customWidth="1"/>
    <col min="29" max="29" width="4.57421875" style="34" customWidth="1"/>
    <col min="30" max="30" width="4.57421875" style="40" customWidth="1"/>
    <col min="31" max="31" width="24.140625" style="10" customWidth="1"/>
    <col min="32" max="32" width="4.57421875" style="161" customWidth="1"/>
    <col min="33" max="33" width="4.57421875" style="40" customWidth="1"/>
    <col min="34" max="34" width="24.140625" style="10" customWidth="1"/>
    <col min="35" max="35" width="4.57421875" style="167" customWidth="1"/>
    <col min="36" max="36" width="4.57421875" style="49" customWidth="1"/>
    <col min="37" max="37" width="24.140625" style="10" customWidth="1"/>
    <col min="38" max="38" width="4.57421875" style="180" customWidth="1"/>
    <col min="39" max="39" width="4.57421875" style="49" customWidth="1"/>
    <col min="40" max="40" width="24.140625" style="10" customWidth="1"/>
    <col min="41" max="41" width="4.57421875" style="11" customWidth="1"/>
    <col min="42" max="42" width="4.57421875" style="10" customWidth="1"/>
    <col min="43" max="43" width="24.28125" style="10" customWidth="1"/>
    <col min="44" max="44" width="4.57421875" style="10" customWidth="1"/>
    <col min="45" max="16384" width="9.140625" style="10" customWidth="1"/>
  </cols>
  <sheetData>
    <row r="1" spans="3:41" s="1" customFormat="1" ht="43.5" customHeight="1">
      <c r="C1" s="195"/>
      <c r="F1" s="195"/>
      <c r="I1" s="195"/>
      <c r="K1" s="191"/>
      <c r="L1" s="195"/>
      <c r="O1" s="354" t="str">
        <f>+lista!A1</f>
        <v>III WTK MŁODZICZEK i MŁODZIKÓW WOJEWÓDZTWA MAŁOPOLSKIEGO - ZAKLICZYN  - 6.03.2011r.</v>
      </c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</row>
    <row r="2" spans="3:38" s="1" customFormat="1" ht="15" customHeight="1">
      <c r="C2" s="195"/>
      <c r="F2" s="195"/>
      <c r="I2" s="195"/>
      <c r="K2" s="191"/>
      <c r="L2" s="195"/>
      <c r="O2" s="195"/>
      <c r="R2" s="195"/>
      <c r="U2" s="195"/>
      <c r="X2" s="195"/>
      <c r="AA2" s="2"/>
      <c r="AB2" s="3"/>
      <c r="AC2" s="3"/>
      <c r="AE2" s="205"/>
      <c r="AF2" s="159"/>
      <c r="AI2" s="165"/>
      <c r="AL2" s="165"/>
    </row>
    <row r="3" spans="3:41" s="1" customFormat="1" ht="28.5" customHeight="1">
      <c r="C3" s="195"/>
      <c r="F3" s="195"/>
      <c r="I3" s="195"/>
      <c r="K3" s="191"/>
      <c r="L3" s="195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307" t="s">
        <v>238</v>
      </c>
      <c r="Z3" s="307"/>
      <c r="AA3" s="307"/>
      <c r="AB3" s="307"/>
      <c r="AC3" s="307"/>
      <c r="AD3" s="307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</row>
    <row r="4" spans="3:41" s="55" customFormat="1" ht="24.75" customHeight="1">
      <c r="C4" s="195"/>
      <c r="F4" s="195"/>
      <c r="I4" s="195"/>
      <c r="K4" s="191"/>
      <c r="L4" s="195"/>
      <c r="P4" s="263"/>
      <c r="Q4" s="263"/>
      <c r="R4" s="263"/>
      <c r="S4" s="263"/>
      <c r="T4" s="263"/>
      <c r="U4" s="263"/>
      <c r="V4" s="263"/>
      <c r="W4" s="263"/>
      <c r="X4" s="263"/>
      <c r="Y4" s="306" t="str">
        <f>lista!C4</f>
        <v>MŁODZICY</v>
      </c>
      <c r="Z4" s="306"/>
      <c r="AA4" s="306"/>
      <c r="AB4" s="306"/>
      <c r="AC4" s="306"/>
      <c r="AD4" s="306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</row>
    <row r="5" spans="3:41" s="4" customFormat="1" ht="19.5" customHeight="1">
      <c r="C5" s="45"/>
      <c r="F5" s="45"/>
      <c r="I5" s="45"/>
      <c r="K5" s="5"/>
      <c r="L5" s="45"/>
      <c r="O5" s="45"/>
      <c r="R5" s="45"/>
      <c r="U5" s="45"/>
      <c r="X5" s="45"/>
      <c r="Z5" s="6"/>
      <c r="AA5" s="7"/>
      <c r="AB5" s="7"/>
      <c r="AC5" s="32"/>
      <c r="AD5" s="39"/>
      <c r="AE5" s="206"/>
      <c r="AF5" s="157"/>
      <c r="AG5" s="39"/>
      <c r="AH5" s="7"/>
      <c r="AI5" s="158"/>
      <c r="AJ5" s="39"/>
      <c r="AK5" s="7"/>
      <c r="AL5" s="179"/>
      <c r="AM5" s="39"/>
      <c r="AN5" s="7"/>
      <c r="AO5" s="7"/>
    </row>
    <row r="6" spans="3:44" s="4" customFormat="1" ht="19.5" customHeight="1">
      <c r="C6" s="45"/>
      <c r="F6" s="45"/>
      <c r="I6" s="45"/>
      <c r="K6" s="5"/>
      <c r="L6" s="45"/>
      <c r="O6" s="45"/>
      <c r="R6" s="45"/>
      <c r="U6" s="45"/>
      <c r="X6" s="45"/>
      <c r="Z6" s="6"/>
      <c r="AA6" s="351" t="s">
        <v>81</v>
      </c>
      <c r="AB6" s="352"/>
      <c r="AC6" s="353"/>
      <c r="AD6" s="351" t="s">
        <v>80</v>
      </c>
      <c r="AE6" s="352"/>
      <c r="AF6" s="353"/>
      <c r="AG6" s="351" t="s">
        <v>79</v>
      </c>
      <c r="AH6" s="352"/>
      <c r="AI6" s="353"/>
      <c r="AJ6" s="351" t="s">
        <v>82</v>
      </c>
      <c r="AK6" s="352"/>
      <c r="AL6" s="353"/>
      <c r="AM6" s="351" t="s">
        <v>83</v>
      </c>
      <c r="AN6" s="352"/>
      <c r="AO6" s="353"/>
      <c r="AP6" s="95"/>
      <c r="AQ6" s="97" t="s">
        <v>2</v>
      </c>
      <c r="AR6" s="96"/>
    </row>
    <row r="7" spans="3:41" s="4" customFormat="1" ht="19.5" customHeight="1">
      <c r="C7" s="45"/>
      <c r="F7" s="45"/>
      <c r="H7" s="123"/>
      <c r="I7" s="322" t="str">
        <f>IF(AM89=1,AK96,IF(AM89=2,AK80," "))</f>
        <v>PIÓRO Eryk</v>
      </c>
      <c r="J7" s="322"/>
      <c r="K7" s="5" t="s">
        <v>110</v>
      </c>
      <c r="L7" s="45"/>
      <c r="N7" s="123"/>
      <c r="O7" s="322" t="str">
        <f>IF(AJ65=1,AH68,IF(AJ65=2,AH60," "))</f>
        <v>OSTANEK Michał</v>
      </c>
      <c r="P7" s="322"/>
      <c r="Q7" s="124" t="s">
        <v>104</v>
      </c>
      <c r="R7" s="45"/>
      <c r="S7" s="125"/>
      <c r="T7" s="123"/>
      <c r="U7" s="322" t="str">
        <f>IF(AG133=1,AE134,IF(AG133=2,AE130," "))</f>
        <v>ROZUM Dawid</v>
      </c>
      <c r="V7" s="322"/>
      <c r="W7" s="126" t="s">
        <v>100</v>
      </c>
      <c r="X7" s="45"/>
      <c r="Z7" s="4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</row>
    <row r="8" spans="3:41" s="4" customFormat="1" ht="19.5" customHeight="1">
      <c r="C8" s="45"/>
      <c r="F8" s="45"/>
      <c r="H8" s="127"/>
      <c r="I8" s="198"/>
      <c r="J8" s="151"/>
      <c r="K8" s="5"/>
      <c r="L8" s="45"/>
      <c r="N8" s="127"/>
      <c r="O8" s="196"/>
      <c r="P8" s="128"/>
      <c r="Q8" s="124"/>
      <c r="R8" s="45"/>
      <c r="S8" s="125"/>
      <c r="T8" s="127"/>
      <c r="U8" s="196"/>
      <c r="V8" s="129"/>
      <c r="W8" s="130"/>
      <c r="X8" s="45"/>
      <c r="Z8" s="45"/>
      <c r="AA8" s="74"/>
      <c r="AB8" s="75"/>
      <c r="AC8" s="76"/>
      <c r="AD8" s="38"/>
      <c r="AE8" s="207"/>
      <c r="AF8" s="160"/>
      <c r="AG8" s="38"/>
      <c r="AH8" s="6"/>
      <c r="AI8" s="166"/>
      <c r="AJ8" s="57"/>
      <c r="AK8" s="6"/>
      <c r="AL8" s="59"/>
      <c r="AM8" s="57"/>
      <c r="AN8" s="6"/>
      <c r="AO8" s="8"/>
    </row>
    <row r="9" spans="8:29" ht="19.5" customHeight="1">
      <c r="H9" s="94"/>
      <c r="I9" s="199"/>
      <c r="J9" s="12"/>
      <c r="N9" s="94"/>
      <c r="P9" s="131"/>
      <c r="Q9" s="132"/>
      <c r="R9" s="320" t="str">
        <f>IF(S10=1,U7,IF(S10=2,U11," "))</f>
        <v>ROZUM Dawid</v>
      </c>
      <c r="S9" s="320"/>
      <c r="T9" s="94"/>
      <c r="V9" s="131"/>
      <c r="W9" s="133"/>
      <c r="X9" s="320">
        <f>IF(AD11=1,AB11,IF(AD11=2,AB9," "))</f>
        <v>0</v>
      </c>
      <c r="Y9" s="321"/>
      <c r="Z9" s="122">
        <v>1</v>
      </c>
      <c r="AA9" s="210"/>
      <c r="AB9" s="343" t="str">
        <f>IF(lista!B8="1.",lista!C8," ")</f>
        <v>MICHALCZYK Jakub</v>
      </c>
      <c r="AC9" s="344"/>
    </row>
    <row r="10" spans="8:32" ht="19.5" customHeight="1">
      <c r="H10" s="94"/>
      <c r="I10" s="199"/>
      <c r="J10" s="12"/>
      <c r="K10" s="132"/>
      <c r="L10" s="320" t="str">
        <f>IF(M11=1,O7,IF(M11=2,O13," "))</f>
        <v>OSTANEK Michał</v>
      </c>
      <c r="M10" s="320"/>
      <c r="N10" s="94"/>
      <c r="P10" s="134"/>
      <c r="Q10" s="135"/>
      <c r="R10" s="196"/>
      <c r="S10" s="129">
        <v>1</v>
      </c>
      <c r="T10" s="94"/>
      <c r="V10" s="131"/>
      <c r="W10" s="136"/>
      <c r="X10" s="197"/>
      <c r="Y10" s="107"/>
      <c r="Z10" s="99"/>
      <c r="AB10" s="12"/>
      <c r="AC10" s="109"/>
      <c r="AD10" s="214"/>
      <c r="AE10" s="215" t="str">
        <f>IF(AD11=1,AB9,IF(AD11=2,AB11," "))</f>
        <v>MICHALCZYK Jakub</v>
      </c>
      <c r="AF10" s="216"/>
    </row>
    <row r="11" spans="5:33" ht="19.5" customHeight="1">
      <c r="E11" s="123"/>
      <c r="F11" s="322" t="str">
        <f>IF(G12=1,I7,IF(G12=2,I17," "))</f>
        <v>OSTANEK Michał</v>
      </c>
      <c r="G11" s="322"/>
      <c r="H11" s="94"/>
      <c r="I11" s="199"/>
      <c r="J11" s="12"/>
      <c r="K11" s="147"/>
      <c r="L11" s="196"/>
      <c r="M11" s="129">
        <v>1</v>
      </c>
      <c r="N11" s="94"/>
      <c r="P11" s="134"/>
      <c r="Q11" s="137"/>
      <c r="S11" s="131"/>
      <c r="T11" s="138"/>
      <c r="U11" s="320" t="str">
        <f>IF(V12=1,X9,IF(V12=2,X13," "))</f>
        <v>FURTAK Adam</v>
      </c>
      <c r="V11" s="321"/>
      <c r="W11" s="139"/>
      <c r="Z11" s="101">
        <v>64</v>
      </c>
      <c r="AA11" s="213"/>
      <c r="AB11" s="343">
        <f>IF(lista!B71="64.",lista!C71," ")</f>
        <v>0</v>
      </c>
      <c r="AC11" s="343"/>
      <c r="AD11" s="111">
        <v>1</v>
      </c>
      <c r="AE11" s="110"/>
      <c r="AF11" s="162"/>
      <c r="AG11" s="43"/>
    </row>
    <row r="12" spans="5:36" ht="19.5" customHeight="1">
      <c r="E12" s="127"/>
      <c r="F12" s="198"/>
      <c r="G12" s="151">
        <v>2</v>
      </c>
      <c r="H12" s="94"/>
      <c r="I12" s="199"/>
      <c r="J12" s="12"/>
      <c r="K12" s="140"/>
      <c r="N12" s="94"/>
      <c r="P12" s="134"/>
      <c r="Q12" s="137"/>
      <c r="S12" s="131"/>
      <c r="T12" s="108"/>
      <c r="U12" s="196"/>
      <c r="V12" s="129">
        <v>2</v>
      </c>
      <c r="W12" s="139"/>
      <c r="Z12" s="58"/>
      <c r="AA12" s="13"/>
      <c r="AB12" s="14"/>
      <c r="AC12" s="33"/>
      <c r="AE12" s="12"/>
      <c r="AF12" s="157" t="s">
        <v>0</v>
      </c>
      <c r="AG12" s="214"/>
      <c r="AH12" s="342" t="str">
        <f>IF(AG13=1,AE10,IF(AG13=2,AE14," "))</f>
        <v>MICHALCZYK Jakub</v>
      </c>
      <c r="AI12" s="342"/>
      <c r="AJ12" s="53"/>
    </row>
    <row r="13" spans="5:41" ht="19.5" customHeight="1">
      <c r="E13" s="94"/>
      <c r="H13" s="94"/>
      <c r="I13" s="199"/>
      <c r="J13" s="12"/>
      <c r="K13" s="140"/>
      <c r="N13" s="138"/>
      <c r="O13" s="320" t="str">
        <f>IF(P14=1,R9,IF(P14=2,R17," "))</f>
        <v>ROZUM Dawid</v>
      </c>
      <c r="P13" s="320"/>
      <c r="Q13" s="140"/>
      <c r="S13" s="131"/>
      <c r="V13" s="131"/>
      <c r="W13" s="141"/>
      <c r="X13" s="320" t="str">
        <f>IF(AD15=1,AB15,IF(AD15=2,AB13," "))</f>
        <v>FURTAK Adam</v>
      </c>
      <c r="Y13" s="321"/>
      <c r="Z13" s="98">
        <v>33</v>
      </c>
      <c r="AA13" s="210"/>
      <c r="AB13" s="347" t="str">
        <f>IF(lista!B40="33.",lista!C40," ")</f>
        <v>KAIM Michał</v>
      </c>
      <c r="AC13" s="348"/>
      <c r="AD13" s="41"/>
      <c r="AE13" s="12"/>
      <c r="AF13" s="163"/>
      <c r="AG13" s="112">
        <v>1</v>
      </c>
      <c r="AH13" s="19"/>
      <c r="AI13" s="168"/>
      <c r="AJ13" s="114"/>
      <c r="AK13" s="12"/>
      <c r="AL13" s="181"/>
      <c r="AN13" s="12"/>
      <c r="AO13" s="15"/>
    </row>
    <row r="14" spans="5:41" ht="19.5" customHeight="1">
      <c r="E14" s="94"/>
      <c r="H14" s="94"/>
      <c r="I14" s="199"/>
      <c r="J14" s="12"/>
      <c r="K14" s="140"/>
      <c r="N14" s="108"/>
      <c r="O14" s="196"/>
      <c r="P14" s="128">
        <v>1</v>
      </c>
      <c r="Q14" s="142"/>
      <c r="R14" s="45"/>
      <c r="S14" s="125"/>
      <c r="V14" s="131"/>
      <c r="W14" s="143"/>
      <c r="X14" s="197"/>
      <c r="Y14" s="107"/>
      <c r="Z14" s="99"/>
      <c r="AB14" s="12"/>
      <c r="AC14" s="73">
        <v>1</v>
      </c>
      <c r="AD14" s="217"/>
      <c r="AE14" s="342" t="str">
        <f>IF(AD15=1,AB13,IF(AD15=2,AB15," "))</f>
        <v>KAIM Michał</v>
      </c>
      <c r="AF14" s="342"/>
      <c r="AG14" s="113"/>
      <c r="AH14" s="17"/>
      <c r="AI14" s="59"/>
      <c r="AJ14" s="115"/>
      <c r="AK14" s="17"/>
      <c r="AL14" s="17"/>
      <c r="AM14" s="50"/>
      <c r="AN14" s="17"/>
      <c r="AO14" s="17"/>
    </row>
    <row r="15" spans="5:41" ht="19.5" customHeight="1">
      <c r="E15" s="94"/>
      <c r="H15" s="94"/>
      <c r="I15" s="199"/>
      <c r="J15" s="12"/>
      <c r="K15" s="140"/>
      <c r="P15" s="131"/>
      <c r="Q15" s="142"/>
      <c r="R15" s="45"/>
      <c r="S15" s="125"/>
      <c r="T15" s="123"/>
      <c r="U15" s="329" t="str">
        <f>IF(AG125=1,AE126,IF(AG125=2,AE122," "))</f>
        <v>OKOŃSKI Piotr</v>
      </c>
      <c r="V15" s="329"/>
      <c r="W15" s="144" t="s">
        <v>99</v>
      </c>
      <c r="Z15" s="101">
        <v>32</v>
      </c>
      <c r="AA15" s="213"/>
      <c r="AB15" s="347" t="str">
        <f>IF(lista!B39="32.",lista!C39," ")</f>
        <v>FURTAK Adam</v>
      </c>
      <c r="AC15" s="348"/>
      <c r="AD15" s="42">
        <v>1</v>
      </c>
      <c r="AE15" s="19"/>
      <c r="AF15" s="162"/>
      <c r="AG15" s="48"/>
      <c r="AH15" s="21"/>
      <c r="AI15" s="169"/>
      <c r="AN15" s="12"/>
      <c r="AO15" s="15"/>
    </row>
    <row r="16" spans="5:41" ht="19.5" customHeight="1">
      <c r="E16" s="94"/>
      <c r="H16" s="94"/>
      <c r="I16" s="199"/>
      <c r="J16" s="12"/>
      <c r="K16" s="140"/>
      <c r="P16" s="131"/>
      <c r="Q16" s="142"/>
      <c r="R16" s="45"/>
      <c r="S16" s="125"/>
      <c r="T16" s="127"/>
      <c r="U16" s="196"/>
      <c r="V16" s="129"/>
      <c r="W16" s="144"/>
      <c r="AA16" s="13"/>
      <c r="AB16" s="14"/>
      <c r="AC16" s="33"/>
      <c r="AD16" s="41"/>
      <c r="AE16" s="12"/>
      <c r="AF16" s="163"/>
      <c r="AH16" s="12"/>
      <c r="AI16" s="170" t="s">
        <v>101</v>
      </c>
      <c r="AJ16" s="214"/>
      <c r="AK16" s="342" t="str">
        <f>IF(AJ17=1,AH12,IF(AJ17=2,AH20," "))</f>
        <v>PODSIADŁO Dominik</v>
      </c>
      <c r="AL16" s="342"/>
      <c r="AN16" s="12"/>
      <c r="AO16" s="15"/>
    </row>
    <row r="17" spans="5:41" ht="19.5" customHeight="1">
      <c r="E17" s="94"/>
      <c r="H17" s="138"/>
      <c r="I17" s="320" t="str">
        <f>IF(J18=1,L10,IF(J18=2,L26," "))</f>
        <v>OSTANEK Michał</v>
      </c>
      <c r="J17" s="320"/>
      <c r="K17" s="140"/>
      <c r="P17" s="131"/>
      <c r="Q17" s="145"/>
      <c r="R17" s="320" t="str">
        <f>IF(S18=1,U15,IF(S18=2,U19," "))</f>
        <v>OKOŃSKI Piotr</v>
      </c>
      <c r="S17" s="320"/>
      <c r="T17" s="94"/>
      <c r="V17" s="131"/>
      <c r="W17" s="133"/>
      <c r="X17" s="320" t="str">
        <f>IF(AD19=1,AB19,IF(AD19=2,AB17," "))</f>
        <v>Kupiec Andrzej</v>
      </c>
      <c r="Y17" s="320"/>
      <c r="Z17" s="122">
        <v>17</v>
      </c>
      <c r="AA17" s="210"/>
      <c r="AB17" s="347" t="str">
        <f>IF(lista!B24="17.",lista!C24," ")</f>
        <v>PIETRZAK Antoni</v>
      </c>
      <c r="AC17" s="348"/>
      <c r="AG17" s="48"/>
      <c r="AH17" s="21"/>
      <c r="AI17" s="169"/>
      <c r="AJ17" s="112">
        <v>2</v>
      </c>
      <c r="AK17" s="19"/>
      <c r="AL17" s="168"/>
      <c r="AM17" s="116"/>
      <c r="AN17" s="21"/>
      <c r="AO17" s="23"/>
    </row>
    <row r="18" spans="5:41" ht="19.5" customHeight="1">
      <c r="E18" s="94"/>
      <c r="G18" s="12"/>
      <c r="H18" s="150"/>
      <c r="I18" s="196"/>
      <c r="J18" s="129">
        <v>1</v>
      </c>
      <c r="K18" s="140"/>
      <c r="P18" s="131"/>
      <c r="Q18" s="135"/>
      <c r="R18" s="196"/>
      <c r="S18" s="129">
        <v>1</v>
      </c>
      <c r="T18" s="94"/>
      <c r="V18" s="131"/>
      <c r="W18" s="136"/>
      <c r="X18" s="197"/>
      <c r="Y18" s="107"/>
      <c r="Z18" s="99"/>
      <c r="AB18" s="12"/>
      <c r="AC18" s="73"/>
      <c r="AD18" s="214"/>
      <c r="AE18" s="215" t="str">
        <f>IF(AD19=1,AB17,IF(AD19=2,AB19," "))</f>
        <v>PIETRZAK Antoni</v>
      </c>
      <c r="AF18" s="216"/>
      <c r="AG18" s="44"/>
      <c r="AH18" s="17"/>
      <c r="AI18" s="18"/>
      <c r="AJ18" s="50"/>
      <c r="AK18" s="17"/>
      <c r="AL18" s="25"/>
      <c r="AM18" s="50"/>
      <c r="AN18" s="17"/>
      <c r="AO18" s="17"/>
    </row>
    <row r="19" spans="5:41" ht="19.5" customHeight="1">
      <c r="E19" s="94"/>
      <c r="G19" s="12"/>
      <c r="H19" s="12"/>
      <c r="K19" s="140"/>
      <c r="P19" s="131"/>
      <c r="Q19" s="137"/>
      <c r="S19" s="131"/>
      <c r="T19" s="138"/>
      <c r="U19" s="320" t="str">
        <f>IF(V20=1,X17,IF(V20=2,X21," "))</f>
        <v>STEFANIAK Paweł</v>
      </c>
      <c r="V19" s="321"/>
      <c r="W19" s="139"/>
      <c r="Z19" s="101">
        <v>48</v>
      </c>
      <c r="AA19" s="213"/>
      <c r="AB19" s="347" t="str">
        <f>IF(lista!B55="48.",lista!C55," ")</f>
        <v>Kupiec Andrzej</v>
      </c>
      <c r="AC19" s="348"/>
      <c r="AD19" s="111">
        <v>1</v>
      </c>
      <c r="AE19" s="110"/>
      <c r="AF19" s="162"/>
      <c r="AG19" s="43"/>
      <c r="AH19" s="12"/>
      <c r="AI19" s="171"/>
      <c r="AK19" s="12"/>
      <c r="AL19" s="182"/>
      <c r="AN19" s="12"/>
      <c r="AO19" s="15"/>
    </row>
    <row r="20" spans="5:41" ht="19.5" customHeight="1">
      <c r="E20" s="94"/>
      <c r="G20" s="12"/>
      <c r="H20" s="12"/>
      <c r="K20" s="140"/>
      <c r="P20" s="131"/>
      <c r="Q20" s="137"/>
      <c r="S20" s="131"/>
      <c r="T20" s="108"/>
      <c r="U20" s="196"/>
      <c r="V20" s="129">
        <v>2</v>
      </c>
      <c r="W20" s="139"/>
      <c r="Z20" s="58"/>
      <c r="AA20" s="13"/>
      <c r="AB20" s="14"/>
      <c r="AC20" s="33"/>
      <c r="AE20" s="12"/>
      <c r="AF20" s="157" t="s">
        <v>1</v>
      </c>
      <c r="AG20" s="214"/>
      <c r="AH20" s="342" t="str">
        <f>IF(AG21=1,AE18,IF(AG21=2,AE22," "))</f>
        <v>PODSIADŁO Dominik</v>
      </c>
      <c r="AI20" s="346"/>
      <c r="AJ20" s="50"/>
      <c r="AK20" s="17"/>
      <c r="AL20" s="25"/>
      <c r="AM20" s="50"/>
      <c r="AN20" s="17"/>
      <c r="AO20" s="17"/>
    </row>
    <row r="21" spans="5:41" ht="19.5" customHeight="1">
      <c r="E21" s="94"/>
      <c r="G21" s="12"/>
      <c r="H21" s="12"/>
      <c r="K21" s="140"/>
      <c r="P21" s="131"/>
      <c r="Q21" s="137"/>
      <c r="S21" s="131"/>
      <c r="V21" s="131"/>
      <c r="W21" s="141"/>
      <c r="X21" s="320" t="str">
        <f>IF(AD23=1,AB23,IF(AD23=2,AB21," "))</f>
        <v>STEFANIAK Paweł</v>
      </c>
      <c r="Y21" s="320"/>
      <c r="Z21" s="98">
        <v>49</v>
      </c>
      <c r="AA21" s="210"/>
      <c r="AB21" s="347" t="str">
        <f>IF(lista!B56="49.",lista!C56," ")</f>
        <v>STEFANIAK Paweł</v>
      </c>
      <c r="AC21" s="348"/>
      <c r="AD21" s="41"/>
      <c r="AE21" s="12"/>
      <c r="AF21" s="163"/>
      <c r="AG21" s="112">
        <v>2</v>
      </c>
      <c r="AH21" s="19"/>
      <c r="AI21" s="168"/>
      <c r="AJ21" s="51"/>
      <c r="AK21" s="21"/>
      <c r="AL21" s="183"/>
      <c r="AM21" s="51"/>
      <c r="AN21" s="21"/>
      <c r="AO21" s="23"/>
    </row>
    <row r="22" spans="5:41" ht="19.5" customHeight="1">
      <c r="E22" s="94"/>
      <c r="G22" s="12"/>
      <c r="H22" s="12"/>
      <c r="K22" s="140"/>
      <c r="P22" s="131"/>
      <c r="Q22" s="137"/>
      <c r="S22" s="131"/>
      <c r="V22" s="131"/>
      <c r="W22" s="143"/>
      <c r="X22" s="197"/>
      <c r="Y22" s="107"/>
      <c r="Z22" s="99"/>
      <c r="AB22" s="12"/>
      <c r="AC22" s="73"/>
      <c r="AD22" s="218"/>
      <c r="AE22" s="342" t="str">
        <f>IF(AD23=1,AB21,IF(AD23=2,AB23," "))</f>
        <v>PODSIADŁO Dominik</v>
      </c>
      <c r="AF22" s="342"/>
      <c r="AG22" s="113"/>
      <c r="AH22" s="17"/>
      <c r="AI22" s="59"/>
      <c r="AJ22" s="50"/>
      <c r="AK22" s="17"/>
      <c r="AL22" s="25"/>
      <c r="AM22" s="50"/>
      <c r="AN22" s="17"/>
      <c r="AO22" s="17"/>
    </row>
    <row r="23" spans="5:38" ht="19.5" customHeight="1">
      <c r="E23" s="94"/>
      <c r="G23" s="12"/>
      <c r="H23" s="12"/>
      <c r="J23" s="4"/>
      <c r="K23" s="142"/>
      <c r="L23" s="45"/>
      <c r="M23" s="4"/>
      <c r="N23" s="123"/>
      <c r="O23" s="322" t="str">
        <f>IF(AJ49=1,AH52,IF(AJ49=2,AH44," "))</f>
        <v>PETKA Krzysztof</v>
      </c>
      <c r="P23" s="322"/>
      <c r="Q23" s="5" t="s">
        <v>103</v>
      </c>
      <c r="R23" s="45"/>
      <c r="S23" s="125"/>
      <c r="T23" s="123"/>
      <c r="U23" s="329" t="str">
        <f>IF(AG117=1,AE118,IF(AG117=2,AE114," "))</f>
        <v>STANKIEWICZ Tomasz</v>
      </c>
      <c r="V23" s="329"/>
      <c r="W23" s="144" t="s">
        <v>98</v>
      </c>
      <c r="Z23" s="101">
        <v>16</v>
      </c>
      <c r="AA23" s="213"/>
      <c r="AB23" s="342" t="str">
        <f>IF(lista!B23="16.",lista!C23," ")</f>
        <v>PODSIADŁO Dominik</v>
      </c>
      <c r="AC23" s="346"/>
      <c r="AD23" s="42">
        <v>2</v>
      </c>
      <c r="AE23" s="19"/>
      <c r="AF23" s="162"/>
      <c r="AG23" s="48"/>
      <c r="AH23" s="21"/>
      <c r="AI23" s="172"/>
      <c r="AJ23" s="51"/>
      <c r="AK23" s="21"/>
      <c r="AL23" s="183"/>
    </row>
    <row r="24" spans="5:41" ht="19.5" customHeight="1">
      <c r="E24" s="94"/>
      <c r="G24" s="12"/>
      <c r="H24" s="12"/>
      <c r="J24" s="4"/>
      <c r="K24" s="142"/>
      <c r="L24" s="45"/>
      <c r="M24" s="4"/>
      <c r="N24" s="127"/>
      <c r="O24" s="196"/>
      <c r="P24" s="128"/>
      <c r="Q24" s="5"/>
      <c r="R24" s="45"/>
      <c r="S24" s="125"/>
      <c r="T24" s="127"/>
      <c r="U24" s="196"/>
      <c r="V24" s="129"/>
      <c r="W24" s="146"/>
      <c r="X24" s="47"/>
      <c r="Y24" s="28"/>
      <c r="AA24" s="13"/>
      <c r="AB24" s="14"/>
      <c r="AC24" s="33"/>
      <c r="AK24" s="12"/>
      <c r="AL24" s="170" t="s">
        <v>97</v>
      </c>
      <c r="AM24" s="217"/>
      <c r="AN24" s="336" t="str">
        <f>IF(AM25=1,AK16,IF(AM25=2,AK32," "))</f>
        <v>PAJĄK Dawid</v>
      </c>
      <c r="AO24" s="336"/>
    </row>
    <row r="25" spans="5:41" ht="19.5" customHeight="1">
      <c r="E25" s="94"/>
      <c r="G25" s="12"/>
      <c r="H25" s="12"/>
      <c r="K25" s="140"/>
      <c r="N25" s="94"/>
      <c r="P25" s="131"/>
      <c r="Q25" s="132"/>
      <c r="R25" s="320" t="str">
        <f>IF(S26=1,U23,IF(S26=2,U27," "))</f>
        <v>STANKIEWICZ Tomasz</v>
      </c>
      <c r="S25" s="320"/>
      <c r="T25" s="94"/>
      <c r="V25" s="131"/>
      <c r="W25" s="133"/>
      <c r="X25" s="320">
        <f>IF(AD27=1,AB27,IF(AD27=2,AB25," "))</f>
        <v>0</v>
      </c>
      <c r="Y25" s="320"/>
      <c r="Z25" s="122">
        <v>9</v>
      </c>
      <c r="AA25" s="210"/>
      <c r="AB25" s="343" t="str">
        <f>IF(lista!B16="9.",lista!C16," ")</f>
        <v>PAJĄK Dawid</v>
      </c>
      <c r="AC25" s="344"/>
      <c r="AK25" s="12"/>
      <c r="AL25" s="182"/>
      <c r="AM25" s="52">
        <v>2</v>
      </c>
      <c r="AN25" s="19"/>
      <c r="AO25" s="35"/>
    </row>
    <row r="26" spans="5:41" ht="19.5" customHeight="1">
      <c r="E26" s="94"/>
      <c r="G26" s="12"/>
      <c r="H26" s="12"/>
      <c r="K26" s="145"/>
      <c r="L26" s="320" t="str">
        <f>IF(M27=1,O23,IF(M27=2,O29," "))</f>
        <v>PETKA Krzysztof</v>
      </c>
      <c r="M26" s="320"/>
      <c r="N26" s="94"/>
      <c r="P26" s="134"/>
      <c r="Q26" s="147"/>
      <c r="R26" s="196"/>
      <c r="S26" s="129">
        <v>1</v>
      </c>
      <c r="T26" s="94"/>
      <c r="V26" s="131"/>
      <c r="W26" s="136"/>
      <c r="X26" s="197"/>
      <c r="Y26" s="107"/>
      <c r="Z26" s="99"/>
      <c r="AB26" s="12"/>
      <c r="AC26" s="73"/>
      <c r="AD26" s="214"/>
      <c r="AE26" s="215" t="str">
        <f>IF(AD27=1,AB25,IF(AD27=2,AB27," "))</f>
        <v>PAJĄK Dawid</v>
      </c>
      <c r="AF26" s="216"/>
      <c r="AK26" s="12"/>
      <c r="AL26" s="182"/>
      <c r="AN26" s="12"/>
      <c r="AO26" s="26"/>
    </row>
    <row r="27" spans="5:41" ht="19.5" customHeight="1">
      <c r="E27" s="94"/>
      <c r="G27" s="12"/>
      <c r="H27" s="12"/>
      <c r="K27" s="135"/>
      <c r="L27" s="196"/>
      <c r="M27" s="129">
        <v>1</v>
      </c>
      <c r="N27" s="94"/>
      <c r="P27" s="134"/>
      <c r="Q27" s="140"/>
      <c r="S27" s="131"/>
      <c r="T27" s="138"/>
      <c r="U27" s="320" t="str">
        <f>IF(V28=1,X25,IF(V28=2,X29," "))</f>
        <v>GĄDEK Mateusz</v>
      </c>
      <c r="V27" s="321"/>
      <c r="W27" s="139"/>
      <c r="Z27" s="101">
        <v>56</v>
      </c>
      <c r="AA27" s="213"/>
      <c r="AB27" s="343">
        <f>IF(lista!B63="56.",lista!C63," ")</f>
        <v>0</v>
      </c>
      <c r="AC27" s="344"/>
      <c r="AD27" s="111">
        <v>1</v>
      </c>
      <c r="AE27" s="110"/>
      <c r="AF27" s="162"/>
      <c r="AG27" s="43"/>
      <c r="AK27" s="12"/>
      <c r="AL27" s="182"/>
      <c r="AN27" s="12"/>
      <c r="AO27" s="26"/>
    </row>
    <row r="28" spans="5:41" ht="19.5" customHeight="1">
      <c r="E28" s="94"/>
      <c r="G28" s="12"/>
      <c r="H28" s="12"/>
      <c r="N28" s="94"/>
      <c r="P28" s="134"/>
      <c r="Q28" s="140"/>
      <c r="S28" s="131"/>
      <c r="T28" s="108"/>
      <c r="U28" s="196"/>
      <c r="V28" s="129">
        <v>2</v>
      </c>
      <c r="W28" s="139"/>
      <c r="Z28" s="58"/>
      <c r="AA28" s="13"/>
      <c r="AB28" s="14"/>
      <c r="AC28" s="33"/>
      <c r="AE28" s="12"/>
      <c r="AF28" s="157" t="s">
        <v>95</v>
      </c>
      <c r="AG28" s="214"/>
      <c r="AH28" s="342" t="str">
        <f>IF(AG29=1,AE26,IF(AG29=2,AE30," "))</f>
        <v>PAJĄK Dawid</v>
      </c>
      <c r="AI28" s="342"/>
      <c r="AK28" s="12"/>
      <c r="AL28" s="182"/>
      <c r="AN28" s="12"/>
      <c r="AO28" s="26"/>
    </row>
    <row r="29" spans="5:41" ht="19.5" customHeight="1">
      <c r="E29" s="94"/>
      <c r="G29" s="12"/>
      <c r="H29" s="12"/>
      <c r="N29" s="138"/>
      <c r="O29" s="320" t="str">
        <f>IF(P30=1,R25,IF(P30=2,R33," "))</f>
        <v>LECH Sylwester</v>
      </c>
      <c r="P29" s="320"/>
      <c r="Q29" s="140"/>
      <c r="S29" s="131"/>
      <c r="V29" s="131"/>
      <c r="W29" s="141"/>
      <c r="X29" s="320" t="str">
        <f>IF(AD31=1,AB31,IF(AD31=2,AB29," "))</f>
        <v>GĄDEK Mateusz</v>
      </c>
      <c r="Y29" s="320"/>
      <c r="Z29" s="98">
        <v>41</v>
      </c>
      <c r="AA29" s="210"/>
      <c r="AB29" s="343" t="str">
        <f>IF(lista!B48="41.",lista!C48," ")</f>
        <v>GĄDEK Mateusz</v>
      </c>
      <c r="AC29" s="344"/>
      <c r="AD29" s="41"/>
      <c r="AE29" s="12"/>
      <c r="AF29" s="163"/>
      <c r="AG29" s="112">
        <v>1</v>
      </c>
      <c r="AH29" s="19"/>
      <c r="AI29" s="168"/>
      <c r="AJ29" s="114"/>
      <c r="AK29" s="12"/>
      <c r="AL29" s="182"/>
      <c r="AN29" s="12"/>
      <c r="AO29" s="26"/>
    </row>
    <row r="30" spans="5:41" ht="19.5" customHeight="1">
      <c r="E30" s="94"/>
      <c r="G30" s="12"/>
      <c r="H30" s="12"/>
      <c r="N30" s="108"/>
      <c r="O30" s="196"/>
      <c r="P30" s="128">
        <v>2</v>
      </c>
      <c r="Q30" s="140"/>
      <c r="S30" s="131"/>
      <c r="T30" s="28"/>
      <c r="U30" s="47"/>
      <c r="V30" s="148"/>
      <c r="W30" s="146"/>
      <c r="X30" s="47"/>
      <c r="Y30" s="28"/>
      <c r="Z30" s="99"/>
      <c r="AB30" s="12"/>
      <c r="AC30" s="73"/>
      <c r="AD30" s="217"/>
      <c r="AE30" s="342" t="str">
        <f>IF(AD31=1,AB29,IF(AD31=2,AB31," "))</f>
        <v>PNIACZEK Dominik</v>
      </c>
      <c r="AF30" s="342"/>
      <c r="AG30" s="113"/>
      <c r="AH30" s="17"/>
      <c r="AI30" s="18"/>
      <c r="AJ30" s="50"/>
      <c r="AK30" s="17"/>
      <c r="AL30" s="25"/>
      <c r="AM30" s="50"/>
      <c r="AN30" s="17"/>
      <c r="AO30" s="25"/>
    </row>
    <row r="31" spans="5:41" ht="19.5" customHeight="1">
      <c r="E31" s="94"/>
      <c r="G31" s="12"/>
      <c r="H31" s="12"/>
      <c r="I31" s="201"/>
      <c r="J31" s="174"/>
      <c r="P31" s="131"/>
      <c r="Q31" s="142"/>
      <c r="R31" s="45"/>
      <c r="S31" s="125"/>
      <c r="T31" s="123"/>
      <c r="U31" s="329" t="str">
        <f>IF(AG109=1,AE110,IF(AG109=2,AE106," "))</f>
        <v>LECH Sylwester</v>
      </c>
      <c r="V31" s="329"/>
      <c r="W31" s="146" t="s">
        <v>89</v>
      </c>
      <c r="X31" s="47"/>
      <c r="Y31" s="28"/>
      <c r="Z31" s="101">
        <v>24</v>
      </c>
      <c r="AA31" s="213"/>
      <c r="AB31" s="336" t="str">
        <f>IF(lista!B31="24.",lista!C31," ")</f>
        <v>PNIACZEK Dominik</v>
      </c>
      <c r="AC31" s="337"/>
      <c r="AD31" s="42">
        <v>2</v>
      </c>
      <c r="AE31" s="19"/>
      <c r="AF31" s="162"/>
      <c r="AG31" s="48"/>
      <c r="AH31" s="21"/>
      <c r="AI31" s="169"/>
      <c r="AK31" s="12"/>
      <c r="AL31" s="182"/>
      <c r="AM31" s="51"/>
      <c r="AN31" s="21"/>
      <c r="AO31" s="24"/>
    </row>
    <row r="32" spans="5:41" ht="19.5" customHeight="1">
      <c r="E32" s="94"/>
      <c r="G32" s="12"/>
      <c r="H32" s="12"/>
      <c r="P32" s="131"/>
      <c r="Q32" s="142"/>
      <c r="R32" s="45"/>
      <c r="S32" s="125"/>
      <c r="T32" s="127"/>
      <c r="U32" s="196"/>
      <c r="V32" s="129"/>
      <c r="W32" s="146"/>
      <c r="X32" s="47"/>
      <c r="Y32" s="28"/>
      <c r="AA32" s="29"/>
      <c r="AB32" s="14"/>
      <c r="AC32" s="33"/>
      <c r="AD32" s="41"/>
      <c r="AE32" s="12"/>
      <c r="AF32" s="163"/>
      <c r="AH32" s="12"/>
      <c r="AI32" s="170" t="s">
        <v>102</v>
      </c>
      <c r="AJ32" s="217"/>
      <c r="AK32" s="336" t="str">
        <f>IF(AJ33=1,AH28,IF(AJ33=2,AH36," "))</f>
        <v>PAJĄK Dawid</v>
      </c>
      <c r="AL32" s="337"/>
      <c r="AM32" s="50"/>
      <c r="AN32" s="17"/>
      <c r="AO32" s="25"/>
    </row>
    <row r="33" spans="1:41" ht="19.5" customHeight="1">
      <c r="A33" s="12"/>
      <c r="B33" s="123"/>
      <c r="C33" s="320" t="str">
        <f>IF(D34=1,F11,IF(D34=2,F43," "))</f>
        <v>KAIM Szymon</v>
      </c>
      <c r="D33" s="320"/>
      <c r="E33" s="175"/>
      <c r="F33" s="158"/>
      <c r="G33" s="93"/>
      <c r="H33" s="12"/>
      <c r="P33" s="131"/>
      <c r="Q33" s="145"/>
      <c r="R33" s="320" t="str">
        <f>IF(S34=1,U31,IF(S34=2,U35," "))</f>
        <v>LECH Sylwester</v>
      </c>
      <c r="S33" s="320"/>
      <c r="T33" s="94"/>
      <c r="V33" s="131"/>
      <c r="W33" s="133"/>
      <c r="X33" s="320" t="str">
        <f>IF(AD35=1,AB35,IF(AD35=2,AB33," "))</f>
        <v>WOLANIN Grzegorz</v>
      </c>
      <c r="Y33" s="320"/>
      <c r="Z33" s="122">
        <v>25</v>
      </c>
      <c r="AA33" s="210"/>
      <c r="AB33" s="343" t="str">
        <f>IF(lista!B32="25.",lista!C32," ")</f>
        <v>GROMADA Arkadiusz</v>
      </c>
      <c r="AC33" s="344"/>
      <c r="AG33" s="48"/>
      <c r="AH33" s="21"/>
      <c r="AI33" s="169"/>
      <c r="AJ33" s="52">
        <v>1</v>
      </c>
      <c r="AK33" s="19"/>
      <c r="AL33" s="184"/>
      <c r="AO33" s="26"/>
    </row>
    <row r="34" spans="1:41" ht="19.5" customHeight="1">
      <c r="A34" s="12"/>
      <c r="B34" s="149"/>
      <c r="C34" s="196"/>
      <c r="D34" s="129">
        <v>2</v>
      </c>
      <c r="E34" s="176"/>
      <c r="F34" s="202"/>
      <c r="G34" s="148"/>
      <c r="H34" s="12"/>
      <c r="P34" s="131"/>
      <c r="Q34" s="135"/>
      <c r="R34" s="196"/>
      <c r="S34" s="129">
        <v>1</v>
      </c>
      <c r="T34" s="94"/>
      <c r="V34" s="131"/>
      <c r="W34" s="136"/>
      <c r="X34" s="197"/>
      <c r="Y34" s="107"/>
      <c r="Z34" s="99"/>
      <c r="AB34" s="12"/>
      <c r="AC34" s="73"/>
      <c r="AD34" s="214"/>
      <c r="AE34" s="215" t="str">
        <f>IF(AD35=1,AB33,IF(AD35=2,AB35," "))</f>
        <v>GROMADA Arkadiusz</v>
      </c>
      <c r="AF34" s="216"/>
      <c r="AG34" s="44"/>
      <c r="AH34" s="17"/>
      <c r="AI34" s="18"/>
      <c r="AJ34" s="50"/>
      <c r="AK34" s="17"/>
      <c r="AL34" s="17"/>
      <c r="AM34" s="50"/>
      <c r="AN34" s="17"/>
      <c r="AO34" s="25"/>
    </row>
    <row r="35" spans="2:41" ht="19.5" customHeight="1">
      <c r="B35" s="94"/>
      <c r="E35" s="94"/>
      <c r="G35" s="12"/>
      <c r="H35" s="12"/>
      <c r="P35" s="131"/>
      <c r="Q35" s="137"/>
      <c r="S35" s="131"/>
      <c r="T35" s="138"/>
      <c r="U35" s="320" t="str">
        <f>IF(V36=1,X33,IF(V36=2,X37," "))</f>
        <v>WOLANIN Grzegorz</v>
      </c>
      <c r="V35" s="321"/>
      <c r="W35" s="139"/>
      <c r="Z35" s="101">
        <v>40</v>
      </c>
      <c r="AA35" s="213"/>
      <c r="AB35" s="343" t="str">
        <f>IF(lista!B47="40.",lista!C47," ")</f>
        <v>WOLANIN Grzegorz</v>
      </c>
      <c r="AC35" s="344"/>
      <c r="AD35" s="111">
        <v>1</v>
      </c>
      <c r="AE35" s="110"/>
      <c r="AF35" s="162"/>
      <c r="AG35" s="43"/>
      <c r="AH35" s="12"/>
      <c r="AI35" s="171"/>
      <c r="AM35" s="51"/>
      <c r="AN35" s="21"/>
      <c r="AO35" s="24"/>
    </row>
    <row r="36" spans="2:42" ht="19.5" customHeight="1">
      <c r="B36" s="94"/>
      <c r="E36" s="94"/>
      <c r="G36" s="12"/>
      <c r="H36" s="12"/>
      <c r="P36" s="131"/>
      <c r="Q36" s="137"/>
      <c r="S36" s="131"/>
      <c r="T36" s="108"/>
      <c r="U36" s="196"/>
      <c r="V36" s="129">
        <v>1</v>
      </c>
      <c r="W36" s="139"/>
      <c r="Z36" s="58"/>
      <c r="AA36" s="13"/>
      <c r="AB36" s="14"/>
      <c r="AC36" s="33"/>
      <c r="AE36" s="12"/>
      <c r="AF36" s="157" t="s">
        <v>94</v>
      </c>
      <c r="AG36" s="214"/>
      <c r="AH36" s="336" t="str">
        <f>IF(AG37=1,AE34,IF(AG37=2,AE38," "))</f>
        <v>KAIM Szymon</v>
      </c>
      <c r="AI36" s="337"/>
      <c r="AJ36" s="50"/>
      <c r="AK36" s="17"/>
      <c r="AL36" s="17"/>
      <c r="AM36" s="8"/>
      <c r="AN36" s="8"/>
      <c r="AO36" s="8"/>
      <c r="AP36" s="94"/>
    </row>
    <row r="37" spans="2:42" ht="19.5" customHeight="1">
      <c r="B37" s="94"/>
      <c r="E37" s="94"/>
      <c r="G37" s="12"/>
      <c r="H37" s="12"/>
      <c r="P37" s="131"/>
      <c r="Q37" s="137"/>
      <c r="S37" s="131"/>
      <c r="V37" s="131"/>
      <c r="W37" s="141"/>
      <c r="X37" s="320">
        <f>IF(AD39=1,AB39,IF(AD39=2,AB37," "))</f>
        <v>0</v>
      </c>
      <c r="Y37" s="320"/>
      <c r="Z37" s="98">
        <v>57</v>
      </c>
      <c r="AA37" s="210"/>
      <c r="AB37" s="343">
        <f>IF(lista!B64="57.",lista!C64," ")</f>
        <v>0</v>
      </c>
      <c r="AC37" s="344"/>
      <c r="AD37" s="41"/>
      <c r="AE37" s="12"/>
      <c r="AF37" s="163"/>
      <c r="AG37" s="112">
        <v>2</v>
      </c>
      <c r="AH37" s="19"/>
      <c r="AI37" s="168"/>
      <c r="AJ37" s="51"/>
      <c r="AK37" s="21"/>
      <c r="AL37" s="185"/>
      <c r="AM37" s="8"/>
      <c r="AN37" s="8"/>
      <c r="AO37" s="8"/>
      <c r="AP37" s="94"/>
    </row>
    <row r="38" spans="2:41" ht="19.5" customHeight="1">
      <c r="B38" s="94"/>
      <c r="E38" s="94"/>
      <c r="G38" s="12"/>
      <c r="H38" s="12"/>
      <c r="P38" s="131"/>
      <c r="Q38" s="137"/>
      <c r="S38" s="131"/>
      <c r="V38" s="131"/>
      <c r="W38" s="143"/>
      <c r="X38" s="197"/>
      <c r="Y38" s="107"/>
      <c r="Z38" s="99"/>
      <c r="AB38" s="12"/>
      <c r="AC38" s="73"/>
      <c r="AD38" s="217"/>
      <c r="AE38" s="342" t="str">
        <f>IF(AD39=1,AB37,IF(AD39=2,AB39," "))</f>
        <v>KAIM Szymon</v>
      </c>
      <c r="AF38" s="342"/>
      <c r="AG38" s="113"/>
      <c r="AH38" s="17"/>
      <c r="AI38" s="59"/>
      <c r="AJ38" s="50"/>
      <c r="AK38" s="17"/>
      <c r="AL38" s="17"/>
      <c r="AM38" s="54"/>
      <c r="AN38" s="36"/>
      <c r="AO38" s="37"/>
    </row>
    <row r="39" spans="2:41" ht="19.5" customHeight="1">
      <c r="B39" s="94"/>
      <c r="E39" s="94"/>
      <c r="H39" s="123"/>
      <c r="I39" s="322" t="str">
        <f>IF(AJ129=1,AK128,IF(AJ129=2,AK112," "))</f>
        <v>BIL Maksymilian</v>
      </c>
      <c r="J39" s="322"/>
      <c r="K39" s="5" t="s">
        <v>111</v>
      </c>
      <c r="L39" s="45"/>
      <c r="M39" s="4"/>
      <c r="N39" s="123"/>
      <c r="O39" s="322" t="str">
        <f>IF(AJ33=1,AH36,IF(AJ33=2,AH28," "))</f>
        <v>KAIM Szymon</v>
      </c>
      <c r="P39" s="322"/>
      <c r="Q39" s="5" t="s">
        <v>102</v>
      </c>
      <c r="R39" s="45"/>
      <c r="S39" s="125"/>
      <c r="T39" s="123"/>
      <c r="U39" s="329" t="str">
        <f>IF(AG101=1,AE102,IF(AG101=2,AE98," "))</f>
        <v>SUŁKOWSKI Bartosz</v>
      </c>
      <c r="V39" s="329"/>
      <c r="W39" s="144" t="s">
        <v>86</v>
      </c>
      <c r="Z39" s="122">
        <v>8</v>
      </c>
      <c r="AA39" s="213"/>
      <c r="AB39" s="336" t="str">
        <f>IF(lista!B15="8.",lista!C15," ")</f>
        <v>KAIM Szymon</v>
      </c>
      <c r="AC39" s="337"/>
      <c r="AD39" s="42">
        <v>2</v>
      </c>
      <c r="AE39" s="19"/>
      <c r="AF39" s="162"/>
      <c r="AG39" s="48"/>
      <c r="AH39" s="21"/>
      <c r="AI39" s="172"/>
      <c r="AJ39" s="51"/>
      <c r="AK39" s="21"/>
      <c r="AL39" s="185"/>
      <c r="AM39" s="53"/>
      <c r="AN39" s="12"/>
      <c r="AO39" s="26"/>
    </row>
    <row r="40" spans="2:44" s="28" customFormat="1" ht="19.5" customHeight="1">
      <c r="B40" s="117"/>
      <c r="C40" s="47"/>
      <c r="E40" s="117"/>
      <c r="F40" s="47"/>
      <c r="H40" s="127"/>
      <c r="I40" s="196"/>
      <c r="J40" s="128"/>
      <c r="K40" s="5"/>
      <c r="L40" s="45"/>
      <c r="M40" s="4"/>
      <c r="N40" s="127"/>
      <c r="O40" s="196"/>
      <c r="P40" s="128"/>
      <c r="Q40" s="5"/>
      <c r="R40" s="45"/>
      <c r="S40" s="125"/>
      <c r="T40" s="127"/>
      <c r="U40" s="196"/>
      <c r="V40" s="129"/>
      <c r="W40" s="146"/>
      <c r="X40" s="47"/>
      <c r="Z40" s="47"/>
      <c r="AA40" s="30"/>
      <c r="AB40" s="31"/>
      <c r="AC40" s="60"/>
      <c r="AD40" s="44"/>
      <c r="AE40" s="345"/>
      <c r="AF40" s="345"/>
      <c r="AG40" s="44"/>
      <c r="AH40" s="17"/>
      <c r="AI40" s="59"/>
      <c r="AJ40" s="50"/>
      <c r="AK40" s="17"/>
      <c r="AL40" s="158"/>
      <c r="AO40" s="121" t="s">
        <v>84</v>
      </c>
      <c r="AP40" s="214"/>
      <c r="AQ40" s="336" t="str">
        <f>IF(AP41=1,AN24,IF(AP41=2,AN56," "))</f>
        <v>CHOLEWA Dariusz</v>
      </c>
      <c r="AR40" s="336"/>
    </row>
    <row r="41" spans="2:45" ht="19.5" customHeight="1">
      <c r="B41" s="94"/>
      <c r="E41" s="94"/>
      <c r="H41" s="94"/>
      <c r="N41" s="94"/>
      <c r="P41" s="131"/>
      <c r="Q41" s="132"/>
      <c r="R41" s="320" t="str">
        <f>IF(S42=1,U39,IF(S42=2,U43," "))</f>
        <v>SUŁKOWSKI Bartosz</v>
      </c>
      <c r="S41" s="320"/>
      <c r="T41" s="94"/>
      <c r="V41" s="131"/>
      <c r="W41" s="133"/>
      <c r="X41" s="320">
        <f>IF(AD43=1,AB43,IF(AD43=2,AB41," "))</f>
        <v>0</v>
      </c>
      <c r="Y41" s="320"/>
      <c r="Z41" s="122">
        <v>5</v>
      </c>
      <c r="AA41" s="210"/>
      <c r="AB41" s="343" t="str">
        <f>IF(lista!B12="5.",lista!C12," ")</f>
        <v>PETKA Krzysztof</v>
      </c>
      <c r="AC41" s="344"/>
      <c r="AP41" s="105">
        <v>2</v>
      </c>
      <c r="AQ41" s="19"/>
      <c r="AR41" s="106"/>
      <c r="AS41" s="94"/>
    </row>
    <row r="42" spans="2:45" ht="19.5" customHeight="1">
      <c r="B42" s="94"/>
      <c r="E42" s="94"/>
      <c r="H42" s="94"/>
      <c r="K42" s="132"/>
      <c r="L42" s="320" t="str">
        <f>IF(M43=1,O39,IF(M43=2,O45," "))</f>
        <v>KAIM Szymon</v>
      </c>
      <c r="M42" s="320"/>
      <c r="N42" s="94"/>
      <c r="P42" s="134"/>
      <c r="Q42" s="135"/>
      <c r="R42" s="196"/>
      <c r="S42" s="129">
        <v>1</v>
      </c>
      <c r="T42" s="94"/>
      <c r="V42" s="131"/>
      <c r="W42" s="136"/>
      <c r="X42" s="197"/>
      <c r="Y42" s="107"/>
      <c r="Z42" s="99"/>
      <c r="AB42" s="12"/>
      <c r="AC42" s="73"/>
      <c r="AD42" s="214"/>
      <c r="AE42" s="215" t="str">
        <f>IF(AD43=1,AB41,IF(AD43=2,AB43," "))</f>
        <v>PETKA Krzysztof</v>
      </c>
      <c r="AF42" s="216"/>
      <c r="AO42" s="26"/>
      <c r="AS42" s="94"/>
    </row>
    <row r="43" spans="2:45" ht="19.5" customHeight="1">
      <c r="B43" s="94"/>
      <c r="E43" s="138"/>
      <c r="F43" s="322" t="str">
        <f>IF(G44=1,I39,IF(G44=2,I49," "))</f>
        <v>KAIM Szymon</v>
      </c>
      <c r="G43" s="322"/>
      <c r="H43" s="94"/>
      <c r="K43" s="147"/>
      <c r="L43" s="198"/>
      <c r="M43" s="151">
        <v>1</v>
      </c>
      <c r="N43" s="94"/>
      <c r="P43" s="134"/>
      <c r="Q43" s="137"/>
      <c r="S43" s="131"/>
      <c r="T43" s="138"/>
      <c r="U43" s="320" t="str">
        <f>IF(V44=1,X41,IF(V44=2,X45," "))</f>
        <v>BURY Mateusz</v>
      </c>
      <c r="V43" s="321"/>
      <c r="W43" s="139"/>
      <c r="Z43" s="101">
        <v>60</v>
      </c>
      <c r="AA43" s="213"/>
      <c r="AB43" s="343">
        <f>IF(lista!B67="60.",lista!C67," ")</f>
        <v>0</v>
      </c>
      <c r="AC43" s="344"/>
      <c r="AD43" s="111">
        <v>1</v>
      </c>
      <c r="AE43" s="110"/>
      <c r="AF43" s="162"/>
      <c r="AG43" s="43"/>
      <c r="AO43" s="26"/>
      <c r="AS43" s="94"/>
    </row>
    <row r="44" spans="2:45" ht="19.5" customHeight="1">
      <c r="B44" s="94"/>
      <c r="D44" s="12"/>
      <c r="E44" s="150"/>
      <c r="F44" s="198"/>
      <c r="G44" s="151">
        <v>2</v>
      </c>
      <c r="H44" s="94"/>
      <c r="K44" s="140"/>
      <c r="L44" s="199"/>
      <c r="M44" s="12"/>
      <c r="N44" s="94"/>
      <c r="P44" s="134"/>
      <c r="Q44" s="137"/>
      <c r="S44" s="131"/>
      <c r="T44" s="108"/>
      <c r="U44" s="196"/>
      <c r="V44" s="129">
        <v>2</v>
      </c>
      <c r="W44" s="139"/>
      <c r="Z44" s="58"/>
      <c r="AA44" s="13"/>
      <c r="AB44" s="14"/>
      <c r="AC44" s="33"/>
      <c r="AE44" s="12"/>
      <c r="AF44" s="157" t="s">
        <v>92</v>
      </c>
      <c r="AG44" s="214"/>
      <c r="AH44" s="342" t="str">
        <f>IF(AG45=1,AE42,IF(AG45=2,AE46," "))</f>
        <v>PETKA Krzysztof</v>
      </c>
      <c r="AI44" s="342"/>
      <c r="AO44" s="26"/>
      <c r="AS44" s="94"/>
    </row>
    <row r="45" spans="2:45" ht="19.5" customHeight="1">
      <c r="B45" s="94"/>
      <c r="H45" s="94"/>
      <c r="K45" s="140"/>
      <c r="L45" s="199"/>
      <c r="M45" s="12"/>
      <c r="N45" s="145"/>
      <c r="O45" s="320" t="str">
        <f>IF(P46=1,R41,IF(P46=2,R49," "))</f>
        <v>OLESIAK Grzegorz</v>
      </c>
      <c r="P45" s="320"/>
      <c r="Q45" s="140"/>
      <c r="S45" s="131"/>
      <c r="V45" s="131"/>
      <c r="W45" s="141"/>
      <c r="X45" s="320" t="str">
        <f>IF(AD47=1,AB47,IF(AD47=2,AB45," "))</f>
        <v>BURY Mateusz</v>
      </c>
      <c r="Y45" s="320"/>
      <c r="Z45" s="98">
        <v>37</v>
      </c>
      <c r="AA45" s="210"/>
      <c r="AB45" s="343" t="str">
        <f>IF(lista!B44="37.",lista!C44," ")</f>
        <v>BURY Mateusz</v>
      </c>
      <c r="AC45" s="344"/>
      <c r="AD45" s="41"/>
      <c r="AE45" s="12"/>
      <c r="AF45" s="163"/>
      <c r="AG45" s="112">
        <v>1</v>
      </c>
      <c r="AH45" s="19"/>
      <c r="AI45" s="168"/>
      <c r="AJ45" s="114"/>
      <c r="AK45" s="12"/>
      <c r="AL45" s="181"/>
      <c r="AN45" s="12"/>
      <c r="AO45" s="26"/>
      <c r="AS45" s="94"/>
    </row>
    <row r="46" spans="2:45" ht="19.5" customHeight="1">
      <c r="B46" s="94"/>
      <c r="H46" s="94"/>
      <c r="K46" s="140"/>
      <c r="L46" s="199"/>
      <c r="M46" s="12"/>
      <c r="N46" s="108"/>
      <c r="O46" s="196"/>
      <c r="P46" s="152">
        <v>2</v>
      </c>
      <c r="Q46" s="140"/>
      <c r="S46" s="131"/>
      <c r="T46" s="28"/>
      <c r="U46" s="47"/>
      <c r="V46" s="148"/>
      <c r="W46" s="146"/>
      <c r="X46" s="47"/>
      <c r="Y46" s="28"/>
      <c r="Z46" s="99"/>
      <c r="AB46" s="12"/>
      <c r="AC46" s="73"/>
      <c r="AD46" s="217"/>
      <c r="AE46" s="342" t="str">
        <f>IF(AD47=1,AB45,IF(AD47=2,AB47," "))</f>
        <v>JARZĄBEK Szymon</v>
      </c>
      <c r="AF46" s="342"/>
      <c r="AG46" s="113"/>
      <c r="AH46" s="17"/>
      <c r="AI46" s="18"/>
      <c r="AJ46" s="50"/>
      <c r="AK46" s="17"/>
      <c r="AL46" s="17"/>
      <c r="AM46" s="50"/>
      <c r="AN46" s="17"/>
      <c r="AO46" s="25"/>
      <c r="AS46" s="94"/>
    </row>
    <row r="47" spans="2:45" ht="19.5" customHeight="1">
      <c r="B47" s="94"/>
      <c r="H47" s="94"/>
      <c r="K47" s="140"/>
      <c r="L47" s="199"/>
      <c r="M47" s="12"/>
      <c r="P47" s="134"/>
      <c r="Q47" s="142"/>
      <c r="R47" s="45"/>
      <c r="S47" s="125"/>
      <c r="T47" s="123"/>
      <c r="U47" s="329" t="str">
        <f>IF(AG93=1,AE94,IF(AG93=2,AE90," "))</f>
        <v>OLESIAK Grzegorz</v>
      </c>
      <c r="V47" s="329"/>
      <c r="W47" s="146" t="s">
        <v>96</v>
      </c>
      <c r="X47" s="47"/>
      <c r="Y47" s="28"/>
      <c r="Z47" s="101">
        <v>28</v>
      </c>
      <c r="AA47" s="213"/>
      <c r="AB47" s="336" t="str">
        <f>IF(lista!B35="28.",lista!C35," ")</f>
        <v>JARZĄBEK Szymon</v>
      </c>
      <c r="AC47" s="337"/>
      <c r="AD47" s="42">
        <v>2</v>
      </c>
      <c r="AE47" s="19"/>
      <c r="AF47" s="162"/>
      <c r="AG47" s="48"/>
      <c r="AH47" s="21"/>
      <c r="AI47" s="169"/>
      <c r="AN47" s="12"/>
      <c r="AO47" s="26"/>
      <c r="AS47" s="94"/>
    </row>
    <row r="48" spans="2:45" ht="19.5" customHeight="1">
      <c r="B48" s="94"/>
      <c r="H48" s="94"/>
      <c r="K48" s="140"/>
      <c r="L48" s="199"/>
      <c r="M48" s="12"/>
      <c r="P48" s="134"/>
      <c r="Q48" s="142"/>
      <c r="R48" s="45"/>
      <c r="S48" s="125"/>
      <c r="T48" s="127"/>
      <c r="U48" s="196"/>
      <c r="V48" s="129"/>
      <c r="W48" s="146"/>
      <c r="X48" s="47"/>
      <c r="Y48" s="28"/>
      <c r="AA48" s="13"/>
      <c r="AB48" s="14"/>
      <c r="AC48" s="33"/>
      <c r="AD48" s="41"/>
      <c r="AE48" s="12"/>
      <c r="AF48" s="163"/>
      <c r="AH48" s="12"/>
      <c r="AI48" s="170" t="s">
        <v>103</v>
      </c>
      <c r="AJ48" s="214"/>
      <c r="AK48" s="342" t="str">
        <f>IF(AJ49=1,AH44,IF(AJ49=2,AH52," "))</f>
        <v>CHOLEWA Dariusz</v>
      </c>
      <c r="AL48" s="342"/>
      <c r="AN48" s="12"/>
      <c r="AO48" s="26"/>
      <c r="AS48" s="94"/>
    </row>
    <row r="49" spans="2:45" ht="19.5" customHeight="1">
      <c r="B49" s="94"/>
      <c r="H49" s="138"/>
      <c r="I49" s="320" t="str">
        <f>IF(J50=1,L42,IF(J50=2,L58," "))</f>
        <v>KAIM Szymon</v>
      </c>
      <c r="J49" s="320"/>
      <c r="K49" s="140"/>
      <c r="L49" s="199"/>
      <c r="M49" s="12"/>
      <c r="P49" s="134"/>
      <c r="Q49" s="145"/>
      <c r="R49" s="320" t="str">
        <f>IF(S50=1,U47,IF(S50=2,U51," "))</f>
        <v>OLESIAK Grzegorz</v>
      </c>
      <c r="S49" s="320"/>
      <c r="T49" s="94"/>
      <c r="V49" s="131"/>
      <c r="W49" s="133"/>
      <c r="X49" s="320" t="str">
        <f>IF(AD51=1,AB51,IF(AD51=2,AB49," "))</f>
        <v>KUCHARSKI Maciej</v>
      </c>
      <c r="Y49" s="320"/>
      <c r="Z49" s="122">
        <v>21</v>
      </c>
      <c r="AA49" s="210"/>
      <c r="AB49" s="343" t="str">
        <f>IF(lista!B28="21.",lista!C28," ")</f>
        <v>KUCHARSKI Maciej</v>
      </c>
      <c r="AC49" s="344"/>
      <c r="AG49" s="48"/>
      <c r="AH49" s="21"/>
      <c r="AI49" s="169"/>
      <c r="AJ49" s="112">
        <v>2</v>
      </c>
      <c r="AK49" s="19"/>
      <c r="AL49" s="168"/>
      <c r="AM49" s="116"/>
      <c r="AN49" s="21"/>
      <c r="AO49" s="24"/>
      <c r="AS49" s="94"/>
    </row>
    <row r="50" spans="2:45" ht="19.5" customHeight="1">
      <c r="B50" s="94"/>
      <c r="H50" s="150"/>
      <c r="I50" s="196"/>
      <c r="J50" s="129">
        <v>1</v>
      </c>
      <c r="K50" s="140"/>
      <c r="L50" s="199"/>
      <c r="M50" s="12"/>
      <c r="P50" s="131"/>
      <c r="Q50" s="135"/>
      <c r="R50" s="196"/>
      <c r="S50" s="129">
        <v>1</v>
      </c>
      <c r="T50" s="94"/>
      <c r="V50" s="131"/>
      <c r="W50" s="136"/>
      <c r="X50" s="197"/>
      <c r="Y50" s="107"/>
      <c r="Z50" s="99"/>
      <c r="AB50" s="12"/>
      <c r="AC50" s="73"/>
      <c r="AD50" s="214"/>
      <c r="AE50" s="215" t="str">
        <f>IF(AD51=1,AB49,IF(AD51=2,AB51," "))</f>
        <v>KUCZEK Karol</v>
      </c>
      <c r="AF50" s="216"/>
      <c r="AG50" s="44"/>
      <c r="AH50" s="17"/>
      <c r="AI50" s="18"/>
      <c r="AJ50" s="50"/>
      <c r="AK50" s="17"/>
      <c r="AL50" s="25"/>
      <c r="AM50" s="50"/>
      <c r="AN50" s="17"/>
      <c r="AO50" s="25"/>
      <c r="AS50" s="94"/>
    </row>
    <row r="51" spans="2:45" ht="19.5" customHeight="1">
      <c r="B51" s="94"/>
      <c r="K51" s="140"/>
      <c r="L51" s="199"/>
      <c r="M51" s="12"/>
      <c r="P51" s="131"/>
      <c r="Q51" s="137"/>
      <c r="S51" s="131"/>
      <c r="T51" s="138"/>
      <c r="U51" s="320" t="str">
        <f>IF(V52=1,X49,IF(V52=2,X53," "))</f>
        <v>KUCHARSKI Maciej</v>
      </c>
      <c r="V51" s="321"/>
      <c r="W51" s="139"/>
      <c r="Z51" s="101">
        <v>44</v>
      </c>
      <c r="AA51" s="213"/>
      <c r="AB51" s="343" t="str">
        <f>IF(lista!B51="44.",lista!C51," ")</f>
        <v>KUCZEK Karol</v>
      </c>
      <c r="AC51" s="344"/>
      <c r="AD51" s="111">
        <v>2</v>
      </c>
      <c r="AE51" s="110"/>
      <c r="AF51" s="162"/>
      <c r="AG51" s="43"/>
      <c r="AH51" s="12"/>
      <c r="AI51" s="171"/>
      <c r="AK51" s="12"/>
      <c r="AL51" s="182"/>
      <c r="AN51" s="12"/>
      <c r="AO51" s="26"/>
      <c r="AS51" s="94"/>
    </row>
    <row r="52" spans="2:45" ht="19.5" customHeight="1">
      <c r="B52" s="94"/>
      <c r="K52" s="140"/>
      <c r="L52" s="199"/>
      <c r="M52" s="12"/>
      <c r="P52" s="131"/>
      <c r="Q52" s="137"/>
      <c r="S52" s="131"/>
      <c r="T52" s="108"/>
      <c r="U52" s="196"/>
      <c r="V52" s="129">
        <v>1</v>
      </c>
      <c r="W52" s="139"/>
      <c r="Z52" s="58"/>
      <c r="AA52" s="13"/>
      <c r="AB52" s="14"/>
      <c r="AC52" s="33"/>
      <c r="AE52" s="12"/>
      <c r="AF52" s="157" t="s">
        <v>90</v>
      </c>
      <c r="AG52" s="214"/>
      <c r="AH52" s="336" t="str">
        <f>IF(AG53=1,AE50,IF(AG53=2,AE54," "))</f>
        <v>CHOLEWA Dariusz</v>
      </c>
      <c r="AI52" s="337"/>
      <c r="AJ52" s="50"/>
      <c r="AK52" s="17"/>
      <c r="AL52" s="25"/>
      <c r="AM52" s="50"/>
      <c r="AN52" s="17"/>
      <c r="AO52" s="25"/>
      <c r="AS52" s="94"/>
    </row>
    <row r="53" spans="2:45" ht="19.5" customHeight="1">
      <c r="B53" s="94"/>
      <c r="K53" s="140"/>
      <c r="L53" s="199"/>
      <c r="M53" s="12"/>
      <c r="P53" s="131"/>
      <c r="Q53" s="137"/>
      <c r="S53" s="131"/>
      <c r="V53" s="131"/>
      <c r="W53" s="141"/>
      <c r="X53" s="320">
        <f>IF(AD55=1,AB55,IF(AD55=2,AB53," "))</f>
        <v>0</v>
      </c>
      <c r="Y53" s="320"/>
      <c r="Z53" s="98">
        <v>53</v>
      </c>
      <c r="AA53" s="210"/>
      <c r="AB53" s="343">
        <f>IF(lista!B60="53.",lista!C60," ")</f>
        <v>0</v>
      </c>
      <c r="AC53" s="344"/>
      <c r="AD53" s="41"/>
      <c r="AE53" s="12"/>
      <c r="AF53" s="163"/>
      <c r="AG53" s="112">
        <v>2</v>
      </c>
      <c r="AH53" s="19"/>
      <c r="AI53" s="168"/>
      <c r="AJ53" s="51"/>
      <c r="AK53" s="21"/>
      <c r="AL53" s="183"/>
      <c r="AM53" s="51"/>
      <c r="AN53" s="21"/>
      <c r="AO53" s="24"/>
      <c r="AS53" s="94"/>
    </row>
    <row r="54" spans="2:45" ht="19.5" customHeight="1">
      <c r="B54" s="94"/>
      <c r="K54" s="140"/>
      <c r="L54" s="199"/>
      <c r="M54" s="12"/>
      <c r="P54" s="131"/>
      <c r="Q54" s="137"/>
      <c r="S54" s="131"/>
      <c r="T54" s="28"/>
      <c r="U54" s="47"/>
      <c r="V54" s="148"/>
      <c r="W54" s="146"/>
      <c r="X54" s="47"/>
      <c r="Y54" s="28"/>
      <c r="Z54" s="99"/>
      <c r="AB54" s="12"/>
      <c r="AC54" s="73"/>
      <c r="AD54" s="217"/>
      <c r="AE54" s="342" t="str">
        <f>IF(AD55=1,AB53,IF(AD55=2,AB55," "))</f>
        <v>CHOLEWA Dariusz</v>
      </c>
      <c r="AF54" s="342"/>
      <c r="AG54" s="113"/>
      <c r="AH54" s="17"/>
      <c r="AI54" s="59"/>
      <c r="AJ54" s="50"/>
      <c r="AK54" s="17"/>
      <c r="AL54" s="25"/>
      <c r="AM54" s="50"/>
      <c r="AN54" s="17"/>
      <c r="AO54" s="25"/>
      <c r="AS54" s="94"/>
    </row>
    <row r="55" spans="2:45" ht="19.5" customHeight="1">
      <c r="B55" s="94"/>
      <c r="J55" s="4"/>
      <c r="K55" s="142"/>
      <c r="L55" s="200"/>
      <c r="M55" s="153"/>
      <c r="N55" s="123"/>
      <c r="O55" s="322" t="str">
        <f>IF(AJ17=1,AH20,IF(AJ17=2,AH12," "))</f>
        <v>MICHALCZYK Jakub</v>
      </c>
      <c r="P55" s="322"/>
      <c r="Q55" s="5" t="s">
        <v>101</v>
      </c>
      <c r="R55" s="45"/>
      <c r="S55" s="125"/>
      <c r="T55" s="123"/>
      <c r="U55" s="329" t="str">
        <f>IF(AG85=1,AE86,IF(AG85=2,AE82," "))</f>
        <v>BUDZIK Oskar</v>
      </c>
      <c r="V55" s="329"/>
      <c r="W55" s="146" t="s">
        <v>93</v>
      </c>
      <c r="X55" s="47"/>
      <c r="Y55" s="28"/>
      <c r="Z55" s="101">
        <v>12</v>
      </c>
      <c r="AA55" s="213"/>
      <c r="AB55" s="336" t="str">
        <f>IF(lista!B19="12.",lista!C19," ")</f>
        <v>CHOLEWA Dariusz</v>
      </c>
      <c r="AC55" s="337"/>
      <c r="AD55" s="42">
        <v>2</v>
      </c>
      <c r="AE55" s="19"/>
      <c r="AF55" s="162"/>
      <c r="AG55" s="48"/>
      <c r="AH55" s="21"/>
      <c r="AI55" s="172"/>
      <c r="AJ55" s="51"/>
      <c r="AK55" s="21"/>
      <c r="AL55" s="183"/>
      <c r="AO55" s="26"/>
      <c r="AS55" s="94"/>
    </row>
    <row r="56" spans="2:45" ht="19.5" customHeight="1">
      <c r="B56" s="94"/>
      <c r="J56" s="4"/>
      <c r="K56" s="142"/>
      <c r="L56" s="200"/>
      <c r="M56" s="153"/>
      <c r="N56" s="127"/>
      <c r="O56" s="196"/>
      <c r="P56" s="128"/>
      <c r="Q56" s="5"/>
      <c r="R56" s="45"/>
      <c r="S56" s="125"/>
      <c r="T56" s="127"/>
      <c r="U56" s="196"/>
      <c r="V56" s="129"/>
      <c r="W56" s="146"/>
      <c r="X56" s="47"/>
      <c r="Y56" s="28"/>
      <c r="AA56" s="13"/>
      <c r="AB56" s="14"/>
      <c r="AC56" s="33"/>
      <c r="AK56" s="28"/>
      <c r="AL56" s="158" t="s">
        <v>109</v>
      </c>
      <c r="AM56" s="214"/>
      <c r="AN56" s="336" t="str">
        <f>IF(AM57=1,AK48,IF(AM57=2,AK64," "))</f>
        <v>CHOLEWA Dariusz</v>
      </c>
      <c r="AO56" s="337"/>
      <c r="AS56" s="94"/>
    </row>
    <row r="57" spans="2:45" ht="19.5" customHeight="1">
      <c r="B57" s="94"/>
      <c r="K57" s="140"/>
      <c r="L57" s="199"/>
      <c r="M57" s="12"/>
      <c r="N57" s="94"/>
      <c r="P57" s="131"/>
      <c r="Q57" s="132"/>
      <c r="R57" s="320" t="str">
        <f>IF(S58=1,U55,IF(S58=2,U59," "))</f>
        <v>BUDZIK Oskar</v>
      </c>
      <c r="S57" s="320"/>
      <c r="T57" s="94"/>
      <c r="V57" s="131"/>
      <c r="W57" s="133"/>
      <c r="X57" s="320" t="str">
        <f>IF(AD59=1,AB59,IF(AD59=2,AB57," "))</f>
        <v>RYPEL Mikołaj</v>
      </c>
      <c r="Y57" s="320"/>
      <c r="Z57" s="122">
        <v>13</v>
      </c>
      <c r="AA57" s="210"/>
      <c r="AB57" s="343" t="str">
        <f>IF(lista!B20="13.",lista!C20," ")</f>
        <v>GALUS Mateusz</v>
      </c>
      <c r="AC57" s="344"/>
      <c r="AK57" s="12"/>
      <c r="AL57" s="182"/>
      <c r="AM57" s="52">
        <v>1</v>
      </c>
      <c r="AN57" s="19"/>
      <c r="AO57" s="27"/>
      <c r="AS57" s="94"/>
    </row>
    <row r="58" spans="2:45" ht="19.5" customHeight="1">
      <c r="B58" s="94"/>
      <c r="K58" s="145"/>
      <c r="L58" s="320" t="str">
        <f>IF(M59=1,O55,IF(M59=2,O61," "))</f>
        <v>MICHALCZYK Jakub</v>
      </c>
      <c r="M58" s="320"/>
      <c r="N58" s="94"/>
      <c r="P58" s="134"/>
      <c r="Q58" s="135"/>
      <c r="R58" s="196"/>
      <c r="S58" s="129">
        <v>1</v>
      </c>
      <c r="T58" s="94"/>
      <c r="V58" s="131"/>
      <c r="W58" s="136"/>
      <c r="X58" s="197"/>
      <c r="Y58" s="107"/>
      <c r="Z58" s="99"/>
      <c r="AB58" s="12"/>
      <c r="AC58" s="73"/>
      <c r="AD58" s="214"/>
      <c r="AE58" s="215" t="str">
        <f>IF(AD59=1,AB57,IF(AD59=2,AB59," "))</f>
        <v>GALUS Mateusz</v>
      </c>
      <c r="AF58" s="216"/>
      <c r="AK58" s="12"/>
      <c r="AL58" s="182"/>
      <c r="AN58" s="12"/>
      <c r="AO58" s="15"/>
      <c r="AS58" s="94"/>
    </row>
    <row r="59" spans="2:45" ht="19.5" customHeight="1">
      <c r="B59" s="94"/>
      <c r="C59" s="330" t="s">
        <v>91</v>
      </c>
      <c r="D59" s="331"/>
      <c r="E59" s="177"/>
      <c r="F59" s="201"/>
      <c r="G59" s="177"/>
      <c r="K59" s="135"/>
      <c r="L59" s="196"/>
      <c r="M59" s="129">
        <v>1</v>
      </c>
      <c r="N59" s="94"/>
      <c r="P59" s="134"/>
      <c r="Q59" s="137"/>
      <c r="S59" s="131"/>
      <c r="T59" s="138"/>
      <c r="U59" s="320" t="str">
        <f>IF(V60=1,X57,IF(V60=2,X61," "))</f>
        <v>KOŁOS Arkadiusz</v>
      </c>
      <c r="V59" s="321"/>
      <c r="W59" s="139"/>
      <c r="Z59" s="101">
        <v>52</v>
      </c>
      <c r="AA59" s="213"/>
      <c r="AB59" s="343" t="str">
        <f>IF(lista!B59="52.",lista!C59," ")</f>
        <v>RYPEL Mikołaj</v>
      </c>
      <c r="AC59" s="344"/>
      <c r="AD59" s="111">
        <v>1</v>
      </c>
      <c r="AE59" s="110"/>
      <c r="AF59" s="162"/>
      <c r="AG59" s="43"/>
      <c r="AK59" s="12"/>
      <c r="AL59" s="182"/>
      <c r="AN59" s="12"/>
      <c r="AO59" s="15"/>
      <c r="AS59" s="94"/>
    </row>
    <row r="60" spans="2:45" ht="19.5" customHeight="1">
      <c r="B60" s="94"/>
      <c r="N60" s="94"/>
      <c r="P60" s="134"/>
      <c r="Q60" s="137"/>
      <c r="S60" s="131"/>
      <c r="T60" s="108"/>
      <c r="U60" s="196"/>
      <c r="V60" s="129">
        <v>2</v>
      </c>
      <c r="W60" s="139"/>
      <c r="Z60" s="58"/>
      <c r="AA60" s="13"/>
      <c r="AB60" s="14"/>
      <c r="AC60" s="33"/>
      <c r="AE60" s="12"/>
      <c r="AF60" s="157" t="s">
        <v>88</v>
      </c>
      <c r="AG60" s="214"/>
      <c r="AH60" s="342" t="str">
        <f>IF(AG61=1,AE58,IF(AG61=2,AE62," "))</f>
        <v>GALUS Mateusz</v>
      </c>
      <c r="AI60" s="342"/>
      <c r="AK60" s="12"/>
      <c r="AL60" s="182"/>
      <c r="AN60" s="12"/>
      <c r="AO60" s="15"/>
      <c r="AS60" s="94"/>
    </row>
    <row r="61" spans="2:45" ht="19.5" customHeight="1">
      <c r="B61" s="94"/>
      <c r="N61" s="138"/>
      <c r="O61" s="320" t="str">
        <f>IF(P62=1,R57,IF(P62=2,R65," "))</f>
        <v>BUDZIK Oskar</v>
      </c>
      <c r="P61" s="320"/>
      <c r="Q61" s="140"/>
      <c r="S61" s="131"/>
      <c r="V61" s="131"/>
      <c r="W61" s="141"/>
      <c r="X61" s="320" t="str">
        <f>IF(AD63=1,AB63,IF(AD63=2,AB61," "))</f>
        <v>KOŁOS Arkadiusz</v>
      </c>
      <c r="Y61" s="320"/>
      <c r="Z61" s="98">
        <v>45</v>
      </c>
      <c r="AA61" s="210"/>
      <c r="AB61" s="343" t="str">
        <f>IF(lista!B52="45.",lista!C52," ")</f>
        <v>KOŁOS Arkadiusz</v>
      </c>
      <c r="AC61" s="344"/>
      <c r="AD61" s="41"/>
      <c r="AE61" s="12"/>
      <c r="AF61" s="163"/>
      <c r="AG61" s="112">
        <v>1</v>
      </c>
      <c r="AH61" s="19"/>
      <c r="AI61" s="168"/>
      <c r="AJ61" s="114"/>
      <c r="AK61" s="12"/>
      <c r="AL61" s="182"/>
      <c r="AN61" s="12"/>
      <c r="AO61" s="15"/>
      <c r="AS61" s="94"/>
    </row>
    <row r="62" spans="2:45" ht="19.5" customHeight="1">
      <c r="B62" s="138"/>
      <c r="C62" s="320" t="str">
        <f>IF(B63=1,C33,IF(B63=2,C97," "))</f>
        <v>LIS Daniel</v>
      </c>
      <c r="D62" s="320"/>
      <c r="E62" s="93"/>
      <c r="F62" s="158"/>
      <c r="G62" s="93"/>
      <c r="N62" s="108"/>
      <c r="O62" s="196"/>
      <c r="P62" s="152">
        <v>1</v>
      </c>
      <c r="Q62" s="140"/>
      <c r="S62" s="131"/>
      <c r="T62" s="28"/>
      <c r="U62" s="47"/>
      <c r="V62" s="148"/>
      <c r="W62" s="146"/>
      <c r="X62" s="47"/>
      <c r="Y62" s="28"/>
      <c r="Z62" s="99"/>
      <c r="AB62" s="12"/>
      <c r="AC62" s="73"/>
      <c r="AD62" s="217"/>
      <c r="AE62" s="342" t="str">
        <f>IF(AD63=1,AB61,IF(AD63=2,AB63," "))</f>
        <v>ZAKRZYŃSKI Domink</v>
      </c>
      <c r="AF62" s="342"/>
      <c r="AG62" s="113"/>
      <c r="AH62" s="17"/>
      <c r="AI62" s="18"/>
      <c r="AJ62" s="50"/>
      <c r="AK62" s="17"/>
      <c r="AL62" s="25"/>
      <c r="AM62" s="50"/>
      <c r="AN62" s="17"/>
      <c r="AO62" s="17"/>
      <c r="AS62" s="94"/>
    </row>
    <row r="63" spans="2:45" ht="19.5" customHeight="1">
      <c r="B63" s="149">
        <v>2</v>
      </c>
      <c r="C63" s="196"/>
      <c r="D63" s="129"/>
      <c r="E63" s="178"/>
      <c r="F63" s="202"/>
      <c r="G63" s="178"/>
      <c r="P63" s="131"/>
      <c r="Q63" s="142"/>
      <c r="R63" s="45"/>
      <c r="S63" s="125"/>
      <c r="T63" s="123"/>
      <c r="U63" s="329" t="str">
        <f>IF(AG77=1,AE78,IF(AG77=2,AE74," "))</f>
        <v>ROSIEK Tomasz</v>
      </c>
      <c r="V63" s="329"/>
      <c r="W63" s="144" t="s">
        <v>97</v>
      </c>
      <c r="Z63" s="101">
        <v>20</v>
      </c>
      <c r="AA63" s="213"/>
      <c r="AB63" s="336" t="str">
        <f>IF(lista!B27="20.",lista!C27," ")</f>
        <v>ZAKRZYŃSKI Domink</v>
      </c>
      <c r="AC63" s="337"/>
      <c r="AD63" s="42">
        <v>2</v>
      </c>
      <c r="AE63" s="19"/>
      <c r="AF63" s="162"/>
      <c r="AG63" s="48"/>
      <c r="AH63" s="21"/>
      <c r="AI63" s="169"/>
      <c r="AK63" s="12"/>
      <c r="AL63" s="182"/>
      <c r="AM63" s="51"/>
      <c r="AN63" s="21"/>
      <c r="AO63" s="23"/>
      <c r="AS63" s="94"/>
    </row>
    <row r="64" spans="2:45" ht="19.5" customHeight="1">
      <c r="B64" s="94"/>
      <c r="P64" s="131"/>
      <c r="Q64" s="142"/>
      <c r="R64" s="45"/>
      <c r="S64" s="125"/>
      <c r="T64" s="127"/>
      <c r="U64" s="196"/>
      <c r="V64" s="129"/>
      <c r="W64" s="144"/>
      <c r="AA64" s="102"/>
      <c r="AB64" s="103"/>
      <c r="AC64" s="104"/>
      <c r="AD64" s="41"/>
      <c r="AE64" s="12"/>
      <c r="AF64" s="163"/>
      <c r="AH64" s="12"/>
      <c r="AI64" s="170" t="s">
        <v>104</v>
      </c>
      <c r="AJ64" s="217"/>
      <c r="AK64" s="336" t="str">
        <f>IF(AJ65=1,AH60,IF(AJ65=2,AH68," "))</f>
        <v>GALUS Mateusz</v>
      </c>
      <c r="AL64" s="337"/>
      <c r="AM64" s="50"/>
      <c r="AN64" s="17"/>
      <c r="AO64" s="17"/>
      <c r="AS64" s="94"/>
    </row>
    <row r="65" spans="2:45" ht="19.5" customHeight="1">
      <c r="B65" s="94"/>
      <c r="P65" s="131"/>
      <c r="Q65" s="145"/>
      <c r="R65" s="320" t="str">
        <f>IF(S66=1,U63,IF(S66=2,U67," "))</f>
        <v>ROSIEK Tomasz</v>
      </c>
      <c r="S65" s="320"/>
      <c r="T65" s="94"/>
      <c r="V65" s="131"/>
      <c r="W65" s="133"/>
      <c r="X65" s="320" t="str">
        <f>IF(AD67=1,AB67,IF(AD67=2,AB65," "))</f>
        <v>KUTAJ Maksymilian</v>
      </c>
      <c r="Y65" s="320"/>
      <c r="Z65" s="98">
        <v>29</v>
      </c>
      <c r="AA65" s="221"/>
      <c r="AB65" s="349" t="str">
        <f>IF(lista!B36="29.",lista!C36," ")</f>
        <v>KOSMAL Dawid</v>
      </c>
      <c r="AC65" s="350"/>
      <c r="AG65" s="48"/>
      <c r="AH65" s="21"/>
      <c r="AI65" s="169"/>
      <c r="AJ65" s="52">
        <v>1</v>
      </c>
      <c r="AK65" s="19"/>
      <c r="AL65" s="184"/>
      <c r="AS65" s="94"/>
    </row>
    <row r="66" spans="2:45" ht="19.5" customHeight="1">
      <c r="B66" s="94"/>
      <c r="P66" s="131"/>
      <c r="Q66" s="135"/>
      <c r="R66" s="196"/>
      <c r="S66" s="129">
        <v>1</v>
      </c>
      <c r="T66" s="94"/>
      <c r="V66" s="131"/>
      <c r="W66" s="136"/>
      <c r="X66" s="197"/>
      <c r="Y66" s="107"/>
      <c r="Z66" s="99"/>
      <c r="AA66" s="100"/>
      <c r="AB66" s="12"/>
      <c r="AC66" s="73"/>
      <c r="AD66" s="214"/>
      <c r="AE66" s="215" t="str">
        <f>IF(AD67=1,AB65,IF(AD67=2,AB67," "))</f>
        <v>KOSMAL Dawid</v>
      </c>
      <c r="AF66" s="216"/>
      <c r="AG66" s="44"/>
      <c r="AH66" s="17"/>
      <c r="AI66" s="18"/>
      <c r="AJ66" s="50"/>
      <c r="AK66" s="17"/>
      <c r="AL66" s="17"/>
      <c r="AM66" s="50"/>
      <c r="AN66" s="17"/>
      <c r="AO66" s="17"/>
      <c r="AS66" s="94"/>
    </row>
    <row r="67" spans="2:45" ht="19.5" customHeight="1">
      <c r="B67" s="94"/>
      <c r="P67" s="131"/>
      <c r="Q67" s="137"/>
      <c r="S67" s="131"/>
      <c r="T67" s="138"/>
      <c r="U67" s="320" t="str">
        <f>IF(V68=1,X65,IF(V68=2,X69," "))</f>
        <v>KUTAJ Maksymilian</v>
      </c>
      <c r="V67" s="321"/>
      <c r="W67" s="139"/>
      <c r="Z67" s="101">
        <v>36</v>
      </c>
      <c r="AA67" s="213"/>
      <c r="AB67" s="336" t="str">
        <f>IF(lista!B43="36.",lista!C43," ")</f>
        <v>KUTAJ Maksymilian</v>
      </c>
      <c r="AC67" s="337"/>
      <c r="AD67" s="111">
        <v>1</v>
      </c>
      <c r="AE67" s="110"/>
      <c r="AF67" s="162"/>
      <c r="AG67" s="43"/>
      <c r="AH67" s="12"/>
      <c r="AI67" s="171"/>
      <c r="AM67" s="51"/>
      <c r="AN67" s="21"/>
      <c r="AO67" s="23"/>
      <c r="AS67" s="94"/>
    </row>
    <row r="68" spans="2:45" ht="19.5" customHeight="1">
      <c r="B68" s="94"/>
      <c r="P68" s="131"/>
      <c r="Q68" s="137"/>
      <c r="S68" s="131"/>
      <c r="T68" s="108"/>
      <c r="U68" s="196"/>
      <c r="V68" s="129">
        <v>1</v>
      </c>
      <c r="W68" s="139"/>
      <c r="Z68" s="58"/>
      <c r="AA68" s="13"/>
      <c r="AB68" s="14"/>
      <c r="AC68" s="33"/>
      <c r="AE68" s="12"/>
      <c r="AF68" s="157" t="s">
        <v>87</v>
      </c>
      <c r="AG68" s="214"/>
      <c r="AH68" s="336" t="str">
        <f>IF(AG69=1,AE66,IF(AG69=2,AE70," "))</f>
        <v>OSTANEK Michał</v>
      </c>
      <c r="AI68" s="337"/>
      <c r="AJ68" s="50"/>
      <c r="AK68" s="17"/>
      <c r="AL68" s="17"/>
      <c r="AM68" s="50"/>
      <c r="AN68" s="17"/>
      <c r="AO68" s="17"/>
      <c r="AP68" s="332" t="s">
        <v>45</v>
      </c>
      <c r="AQ68" s="332"/>
      <c r="AR68" s="332"/>
      <c r="AS68" s="94"/>
    </row>
    <row r="69" spans="2:45" ht="19.5" customHeight="1">
      <c r="B69" s="94"/>
      <c r="P69" s="131"/>
      <c r="Q69" s="137"/>
      <c r="S69" s="131"/>
      <c r="V69" s="131"/>
      <c r="W69" s="141"/>
      <c r="X69" s="320">
        <f>IF(AD71=1,AB71,IF(AD71=2,AB69," "))</f>
        <v>0</v>
      </c>
      <c r="Y69" s="320"/>
      <c r="Z69" s="98">
        <v>61</v>
      </c>
      <c r="AA69" s="221"/>
      <c r="AB69" s="349">
        <f>IF(lista!B68="61.",lista!C68," ")</f>
        <v>0</v>
      </c>
      <c r="AC69" s="350"/>
      <c r="AD69" s="41"/>
      <c r="AE69" s="12"/>
      <c r="AF69" s="163"/>
      <c r="AG69" s="112">
        <v>2</v>
      </c>
      <c r="AH69" s="19"/>
      <c r="AI69" s="168"/>
      <c r="AJ69" s="51"/>
      <c r="AK69" s="21"/>
      <c r="AL69" s="185"/>
      <c r="AP69" s="333" t="s">
        <v>42</v>
      </c>
      <c r="AQ69" s="334"/>
      <c r="AR69" s="335"/>
      <c r="AS69" s="94"/>
    </row>
    <row r="70" spans="2:45" ht="19.5" customHeight="1">
      <c r="B70" s="94"/>
      <c r="P70" s="131"/>
      <c r="Q70" s="137"/>
      <c r="S70" s="131"/>
      <c r="V70" s="131"/>
      <c r="W70" s="143"/>
      <c r="X70" s="197"/>
      <c r="Y70" s="107"/>
      <c r="Z70" s="99"/>
      <c r="AA70" s="100"/>
      <c r="AB70" s="12"/>
      <c r="AC70" s="73"/>
      <c r="AD70" s="217"/>
      <c r="AE70" s="342" t="str">
        <f>IF(AD71=1,AB69,IF(AD71=2,AB71," "))</f>
        <v>OSTANEK Michał</v>
      </c>
      <c r="AF70" s="342"/>
      <c r="AG70" s="113"/>
      <c r="AH70" s="17"/>
      <c r="AP70" s="54"/>
      <c r="AQ70" s="36"/>
      <c r="AR70" s="37"/>
      <c r="AS70" s="94"/>
    </row>
    <row r="71" spans="2:45" ht="19.5" customHeight="1">
      <c r="B71" s="94"/>
      <c r="H71" s="123"/>
      <c r="I71" s="322" t="str">
        <f>IF(AM25=1,AK32,IF(AM25=2,AK16," "))</f>
        <v>PODSIADŁO Dominik</v>
      </c>
      <c r="J71" s="322"/>
      <c r="K71" s="5" t="s">
        <v>97</v>
      </c>
      <c r="L71" s="45"/>
      <c r="M71" s="4"/>
      <c r="N71" s="123"/>
      <c r="O71" s="322" t="str">
        <f>IF(AJ113=1,AH116,IF(AJ113=2,AH108," "))</f>
        <v>TATARCZUCH Rafał</v>
      </c>
      <c r="P71" s="322"/>
      <c r="Q71" s="124" t="s">
        <v>108</v>
      </c>
      <c r="R71" s="45"/>
      <c r="S71" s="125"/>
      <c r="T71" s="123"/>
      <c r="U71" s="322" t="str">
        <f>IF(AG69=1,AE70,IF(AG69=2,AE66," "))</f>
        <v>KOSMAL Dawid</v>
      </c>
      <c r="V71" s="322"/>
      <c r="W71" s="126" t="s">
        <v>87</v>
      </c>
      <c r="X71" s="45"/>
      <c r="Y71" s="4"/>
      <c r="Z71" s="101">
        <v>4</v>
      </c>
      <c r="AA71" s="213"/>
      <c r="AB71" s="336" t="str">
        <f>IF(lista!B11="4.",lista!C11," ")</f>
        <v>OSTANEK Michał</v>
      </c>
      <c r="AC71" s="337"/>
      <c r="AD71" s="42">
        <v>2</v>
      </c>
      <c r="AE71" s="19"/>
      <c r="AF71" s="162"/>
      <c r="AG71" s="48"/>
      <c r="AH71" s="21"/>
      <c r="AP71" s="53"/>
      <c r="AQ71" s="12"/>
      <c r="AR71" s="26"/>
      <c r="AS71" s="94"/>
    </row>
    <row r="72" spans="2:45" ht="19.5" customHeight="1">
      <c r="B72" s="94"/>
      <c r="H72" s="127"/>
      <c r="I72" s="198"/>
      <c r="J72" s="151"/>
      <c r="K72" s="5"/>
      <c r="L72" s="45"/>
      <c r="M72" s="4"/>
      <c r="N72" s="127"/>
      <c r="O72" s="196"/>
      <c r="P72" s="128"/>
      <c r="Q72" s="124"/>
      <c r="R72" s="45"/>
      <c r="S72" s="125"/>
      <c r="T72" s="127"/>
      <c r="U72" s="196"/>
      <c r="V72" s="129"/>
      <c r="W72" s="130"/>
      <c r="X72" s="45"/>
      <c r="Y72" s="4"/>
      <c r="Z72" s="71"/>
      <c r="AA72" s="16"/>
      <c r="AB72" s="72"/>
      <c r="AC72" s="72"/>
      <c r="AD72" s="48"/>
      <c r="AE72" s="21"/>
      <c r="AF72" s="164"/>
      <c r="AG72" s="48"/>
      <c r="AH72" s="21"/>
      <c r="AP72" s="217"/>
      <c r="AQ72" s="336" t="str">
        <f>IF(AR73=1,AQ40,IF(AR73=2,AQ104," "))</f>
        <v>WĘGRZYN Łukasz</v>
      </c>
      <c r="AR72" s="337"/>
      <c r="AS72" s="94"/>
    </row>
    <row r="73" spans="2:45" ht="19.5" customHeight="1">
      <c r="B73" s="94"/>
      <c r="H73" s="94"/>
      <c r="I73" s="199"/>
      <c r="J73" s="12"/>
      <c r="N73" s="94"/>
      <c r="P73" s="131"/>
      <c r="Q73" s="132"/>
      <c r="R73" s="320" t="str">
        <f>IF(S74=1,U71,IF(S74=2,U75," "))</f>
        <v>DANAJ Dawid</v>
      </c>
      <c r="S73" s="320"/>
      <c r="T73" s="94"/>
      <c r="V73" s="131"/>
      <c r="W73" s="133"/>
      <c r="X73" s="320">
        <f>IF(AD75=1,AB75,IF(AD75=2,AB73," "))</f>
        <v>0</v>
      </c>
      <c r="Y73" s="321"/>
      <c r="Z73" s="98">
        <v>3</v>
      </c>
      <c r="AA73" s="221"/>
      <c r="AB73" s="349" t="str">
        <f>IF(lista!B10="3.",lista!C10," ")</f>
        <v>LIS Daniel</v>
      </c>
      <c r="AC73" s="350"/>
      <c r="AP73" s="52"/>
      <c r="AQ73" s="19"/>
      <c r="AR73" s="118">
        <v>2</v>
      </c>
      <c r="AS73" s="94"/>
    </row>
    <row r="74" spans="2:45" ht="19.5" customHeight="1">
      <c r="B74" s="94"/>
      <c r="H74" s="94"/>
      <c r="I74" s="199"/>
      <c r="J74" s="12"/>
      <c r="K74" s="132"/>
      <c r="L74" s="320" t="str">
        <f>IF(M75=1,O71,IF(M75=2,O77," "))</f>
        <v>TATARCZUCH Rafał</v>
      </c>
      <c r="M74" s="320"/>
      <c r="N74" s="94"/>
      <c r="P74" s="134"/>
      <c r="Q74" s="135"/>
      <c r="R74" s="196"/>
      <c r="S74" s="129">
        <v>2</v>
      </c>
      <c r="T74" s="94"/>
      <c r="V74" s="131"/>
      <c r="W74" s="136"/>
      <c r="X74" s="197"/>
      <c r="Y74" s="107"/>
      <c r="Z74" s="99"/>
      <c r="AA74" s="100"/>
      <c r="AB74" s="12"/>
      <c r="AC74" s="73"/>
      <c r="AD74" s="214"/>
      <c r="AE74" s="215" t="str">
        <f>IF(AD75=1,AB73,IF(AD75=2,AB75," "))</f>
        <v>LIS Daniel</v>
      </c>
      <c r="AF74" s="216"/>
      <c r="AP74" s="49"/>
      <c r="AR74" s="26"/>
      <c r="AS74" s="94"/>
    </row>
    <row r="75" spans="2:45" ht="19.5" customHeight="1">
      <c r="B75" s="94"/>
      <c r="E75" s="123"/>
      <c r="F75" s="322" t="str">
        <f>IF(G76=1,I71,IF(G76=2,I81," "))</f>
        <v>TATARCZUCH Rafał</v>
      </c>
      <c r="G75" s="322"/>
      <c r="H75" s="94"/>
      <c r="I75" s="199"/>
      <c r="J75" s="12"/>
      <c r="K75" s="147"/>
      <c r="L75" s="196"/>
      <c r="M75" s="129">
        <v>1</v>
      </c>
      <c r="N75" s="94"/>
      <c r="P75" s="134"/>
      <c r="Q75" s="137"/>
      <c r="S75" s="131"/>
      <c r="T75" s="138"/>
      <c r="U75" s="320" t="str">
        <f>IF(V76=1,X73,IF(V76=2,X77," "))</f>
        <v>DANAJ Dawid</v>
      </c>
      <c r="V75" s="321"/>
      <c r="W75" s="139"/>
      <c r="Z75" s="101">
        <v>62</v>
      </c>
      <c r="AA75" s="213"/>
      <c r="AB75" s="336">
        <f>IF(lista!B69="62.",lista!C69," ")</f>
        <v>0</v>
      </c>
      <c r="AC75" s="337"/>
      <c r="AD75" s="111">
        <v>1</v>
      </c>
      <c r="AE75" s="110"/>
      <c r="AF75" s="162"/>
      <c r="AG75" s="43"/>
      <c r="AP75" s="49"/>
      <c r="AR75" s="26"/>
      <c r="AS75" s="94"/>
    </row>
    <row r="76" spans="2:45" ht="19.5" customHeight="1">
      <c r="B76" s="94"/>
      <c r="E76" s="127"/>
      <c r="F76" s="198"/>
      <c r="G76" s="151">
        <v>2</v>
      </c>
      <c r="H76" s="94"/>
      <c r="I76" s="199"/>
      <c r="J76" s="12"/>
      <c r="K76" s="140"/>
      <c r="N76" s="94"/>
      <c r="P76" s="134"/>
      <c r="Q76" s="137"/>
      <c r="S76" s="131"/>
      <c r="T76" s="108"/>
      <c r="U76" s="196"/>
      <c r="V76" s="129">
        <v>2</v>
      </c>
      <c r="W76" s="139"/>
      <c r="Z76" s="58"/>
      <c r="AA76" s="13"/>
      <c r="AB76" s="14"/>
      <c r="AC76" s="33"/>
      <c r="AE76" s="12"/>
      <c r="AF76" s="157" t="s">
        <v>97</v>
      </c>
      <c r="AG76" s="214"/>
      <c r="AH76" s="342" t="str">
        <f>IF(AG77=1,AE74,IF(AG77=2,AE78," "))</f>
        <v>LIS Daniel</v>
      </c>
      <c r="AI76" s="342"/>
      <c r="AP76" s="336" t="str">
        <f>IF(AR73=1,AQ104,IF(AR73=2,AQ40," "))</f>
        <v>CHOLEWA Dariusz</v>
      </c>
      <c r="AQ76" s="336"/>
      <c r="AR76" s="26"/>
      <c r="AS76" s="94"/>
    </row>
    <row r="77" spans="2:45" ht="19.5" customHeight="1">
      <c r="B77" s="94"/>
      <c r="E77" s="94"/>
      <c r="F77" s="199"/>
      <c r="G77" s="12"/>
      <c r="H77" s="94"/>
      <c r="I77" s="199"/>
      <c r="J77" s="12"/>
      <c r="K77" s="140"/>
      <c r="N77" s="138"/>
      <c r="O77" s="320" t="str">
        <f>IF(P78=1,R73,IF(P78=2,R81," "))</f>
        <v>ZAKRZYŃSKI Domink</v>
      </c>
      <c r="P77" s="320"/>
      <c r="Q77" s="140"/>
      <c r="S77" s="131"/>
      <c r="V77" s="131"/>
      <c r="W77" s="141"/>
      <c r="X77" s="320" t="str">
        <f>IF(AD79=1,AB79,IF(AD79=2,AB77," "))</f>
        <v>DANAJ Dawid</v>
      </c>
      <c r="Y77" s="321"/>
      <c r="Z77" s="98">
        <v>35</v>
      </c>
      <c r="AA77" s="210"/>
      <c r="AB77" s="347" t="str">
        <f>IF(lista!B42="35.",lista!C42," ")</f>
        <v>DANAJ Dawid</v>
      </c>
      <c r="AC77" s="348"/>
      <c r="AD77" s="41"/>
      <c r="AE77" s="12"/>
      <c r="AF77" s="163"/>
      <c r="AG77" s="112">
        <v>1</v>
      </c>
      <c r="AH77" s="19"/>
      <c r="AI77" s="168"/>
      <c r="AJ77" s="114"/>
      <c r="AK77" s="12"/>
      <c r="AL77" s="181"/>
      <c r="AN77" s="12"/>
      <c r="AO77" s="15"/>
      <c r="AP77" s="119"/>
      <c r="AQ77" s="120" t="s">
        <v>78</v>
      </c>
      <c r="AR77" s="26"/>
      <c r="AS77" s="94"/>
    </row>
    <row r="78" spans="2:45" ht="19.5" customHeight="1">
      <c r="B78" s="94"/>
      <c r="E78" s="94"/>
      <c r="F78" s="199"/>
      <c r="G78" s="12"/>
      <c r="H78" s="94"/>
      <c r="I78" s="199"/>
      <c r="J78" s="12"/>
      <c r="K78" s="140"/>
      <c r="N78" s="108"/>
      <c r="O78" s="196"/>
      <c r="P78" s="128">
        <v>2</v>
      </c>
      <c r="Q78" s="142"/>
      <c r="R78" s="45"/>
      <c r="S78" s="125"/>
      <c r="V78" s="131"/>
      <c r="W78" s="143"/>
      <c r="X78" s="197"/>
      <c r="Y78" s="107"/>
      <c r="Z78" s="99"/>
      <c r="AB78" s="12"/>
      <c r="AC78" s="73"/>
      <c r="AD78" s="217"/>
      <c r="AE78" s="342" t="str">
        <f>IF(AD79=1,AB77,IF(AD79=2,AB79," "))</f>
        <v>ROSIEK Tomasz</v>
      </c>
      <c r="AF78" s="342"/>
      <c r="AG78" s="113"/>
      <c r="AH78" s="17"/>
      <c r="AI78" s="18"/>
      <c r="AJ78" s="50"/>
      <c r="AK78" s="17"/>
      <c r="AL78" s="17"/>
      <c r="AM78" s="50"/>
      <c r="AN78" s="17"/>
      <c r="AO78" s="17"/>
      <c r="AS78" s="94"/>
    </row>
    <row r="79" spans="2:45" ht="19.5" customHeight="1">
      <c r="B79" s="94"/>
      <c r="E79" s="94"/>
      <c r="F79" s="199"/>
      <c r="G79" s="12"/>
      <c r="H79" s="94"/>
      <c r="I79" s="199"/>
      <c r="J79" s="12"/>
      <c r="K79" s="140"/>
      <c r="P79" s="131"/>
      <c r="Q79" s="142"/>
      <c r="R79" s="45"/>
      <c r="S79" s="125"/>
      <c r="T79" s="123"/>
      <c r="U79" s="329" t="str">
        <f>IF(AG61=1,AE62,IF(AG61=2,AE58," "))</f>
        <v>ZAKRZYŃSKI Domink</v>
      </c>
      <c r="V79" s="329"/>
      <c r="W79" s="144" t="s">
        <v>88</v>
      </c>
      <c r="Z79" s="101">
        <v>30</v>
      </c>
      <c r="AA79" s="213"/>
      <c r="AB79" s="347" t="str">
        <f>IF(lista!B37="30.",lista!C37," ")</f>
        <v>ROSIEK Tomasz</v>
      </c>
      <c r="AC79" s="348"/>
      <c r="AD79" s="42">
        <v>2</v>
      </c>
      <c r="AE79" s="19"/>
      <c r="AF79" s="162"/>
      <c r="AG79" s="48"/>
      <c r="AH79" s="21"/>
      <c r="AI79" s="169"/>
      <c r="AJ79" s="10"/>
      <c r="AL79" s="186"/>
      <c r="AN79" s="12"/>
      <c r="AO79" s="15"/>
      <c r="AS79" s="94"/>
    </row>
    <row r="80" spans="2:45" ht="19.5" customHeight="1">
      <c r="B80" s="94"/>
      <c r="E80" s="94"/>
      <c r="F80" s="199"/>
      <c r="G80" s="12"/>
      <c r="H80" s="94"/>
      <c r="I80" s="199"/>
      <c r="J80" s="12"/>
      <c r="K80" s="140"/>
      <c r="P80" s="131"/>
      <c r="Q80" s="142"/>
      <c r="R80" s="45"/>
      <c r="S80" s="125"/>
      <c r="T80" s="127"/>
      <c r="U80" s="196"/>
      <c r="V80" s="129"/>
      <c r="W80" s="144"/>
      <c r="AA80" s="13"/>
      <c r="AB80" s="14"/>
      <c r="AC80" s="33"/>
      <c r="AD80" s="41"/>
      <c r="AE80" s="12"/>
      <c r="AF80" s="163"/>
      <c r="AH80" s="12"/>
      <c r="AI80" s="170" t="s">
        <v>105</v>
      </c>
      <c r="AJ80" s="214"/>
      <c r="AK80" s="342" t="str">
        <f>IF(AJ81=1,AH76,IF(AJ81=2,AH84," "))</f>
        <v>PAWLUSIAK Jakub</v>
      </c>
      <c r="AL80" s="342"/>
      <c r="AN80" s="12"/>
      <c r="AO80" s="15"/>
      <c r="AS80" s="94"/>
    </row>
    <row r="81" spans="2:45" ht="19.5" customHeight="1">
      <c r="B81" s="94"/>
      <c r="E81" s="94"/>
      <c r="F81" s="199"/>
      <c r="G81" s="12"/>
      <c r="H81" s="138"/>
      <c r="I81" s="320" t="str">
        <f>IF(J82=1,L74,IF(J82=2,L90," "))</f>
        <v>TATARCZUCH Rafał</v>
      </c>
      <c r="J81" s="320"/>
      <c r="K81" s="140"/>
      <c r="P81" s="131"/>
      <c r="Q81" s="145"/>
      <c r="R81" s="320" t="str">
        <f>IF(S82=1,U79,IF(S82=2,U83," "))</f>
        <v>ZAKRZYŃSKI Domink</v>
      </c>
      <c r="S81" s="320"/>
      <c r="T81" s="94"/>
      <c r="V81" s="131"/>
      <c r="W81" s="133"/>
      <c r="X81" s="320" t="str">
        <f>IF(AD83=1,AB83,IF(AD83=2,AB81," "))</f>
        <v>CIUREJ Radosław</v>
      </c>
      <c r="Y81" s="320"/>
      <c r="Z81" s="122">
        <v>19</v>
      </c>
      <c r="AA81" s="210"/>
      <c r="AB81" s="347" t="str">
        <f>IF(lista!B26="19.",lista!C26," ")</f>
        <v>PAWLUSIAK Jakub</v>
      </c>
      <c r="AC81" s="348"/>
      <c r="AG81" s="48"/>
      <c r="AH81" s="21"/>
      <c r="AI81" s="169"/>
      <c r="AJ81" s="112">
        <v>2</v>
      </c>
      <c r="AK81" s="19"/>
      <c r="AL81" s="168"/>
      <c r="AM81" s="116"/>
      <c r="AN81" s="21"/>
      <c r="AO81" s="23"/>
      <c r="AS81" s="94"/>
    </row>
    <row r="82" spans="2:45" ht="19.5" customHeight="1">
      <c r="B82" s="94"/>
      <c r="E82" s="94"/>
      <c r="F82" s="199"/>
      <c r="G82" s="12"/>
      <c r="H82" s="150"/>
      <c r="I82" s="196"/>
      <c r="J82" s="129">
        <v>1</v>
      </c>
      <c r="K82" s="140"/>
      <c r="P82" s="131"/>
      <c r="Q82" s="135"/>
      <c r="R82" s="196"/>
      <c r="S82" s="129">
        <v>1</v>
      </c>
      <c r="T82" s="94"/>
      <c r="V82" s="131"/>
      <c r="W82" s="136"/>
      <c r="X82" s="197"/>
      <c r="Y82" s="107"/>
      <c r="Z82" s="99"/>
      <c r="AB82" s="12"/>
      <c r="AC82" s="73"/>
      <c r="AD82" s="214"/>
      <c r="AE82" s="215" t="str">
        <f>IF(AD83=1,AB81,IF(AD83=2,AB83," "))</f>
        <v>PAWLUSIAK Jakub</v>
      </c>
      <c r="AF82" s="216"/>
      <c r="AG82" s="44"/>
      <c r="AH82" s="17"/>
      <c r="AI82" s="18"/>
      <c r="AJ82" s="50"/>
      <c r="AK82" s="17"/>
      <c r="AL82" s="25"/>
      <c r="AM82" s="50"/>
      <c r="AN82" s="17"/>
      <c r="AO82" s="17"/>
      <c r="AS82" s="94"/>
    </row>
    <row r="83" spans="2:45" ht="19.5" customHeight="1">
      <c r="B83" s="94"/>
      <c r="E83" s="94"/>
      <c r="F83" s="199"/>
      <c r="G83" s="12"/>
      <c r="H83" s="12"/>
      <c r="K83" s="140"/>
      <c r="P83" s="131"/>
      <c r="Q83" s="137"/>
      <c r="S83" s="131"/>
      <c r="T83" s="138"/>
      <c r="U83" s="320" t="str">
        <f>IF(V84=1,X81,IF(V84=2,X85," "))</f>
        <v>RYPEL Sebastian</v>
      </c>
      <c r="V83" s="321"/>
      <c r="W83" s="139"/>
      <c r="Z83" s="101">
        <v>46</v>
      </c>
      <c r="AA83" s="213"/>
      <c r="AB83" s="347" t="str">
        <f>IF(lista!B53="46.",lista!C53," ")</f>
        <v>CIUREJ Radosław</v>
      </c>
      <c r="AC83" s="348"/>
      <c r="AD83" s="111">
        <v>1</v>
      </c>
      <c r="AE83" s="110"/>
      <c r="AF83" s="162"/>
      <c r="AG83" s="43"/>
      <c r="AH83" s="12"/>
      <c r="AI83" s="171"/>
      <c r="AK83" s="12"/>
      <c r="AL83" s="182"/>
      <c r="AN83" s="12"/>
      <c r="AO83" s="15"/>
      <c r="AS83" s="94"/>
    </row>
    <row r="84" spans="2:45" ht="19.5" customHeight="1">
      <c r="B84" s="94"/>
      <c r="E84" s="94"/>
      <c r="F84" s="199"/>
      <c r="G84" s="12"/>
      <c r="H84" s="12"/>
      <c r="K84" s="140"/>
      <c r="P84" s="131"/>
      <c r="Q84" s="137"/>
      <c r="S84" s="131"/>
      <c r="T84" s="108"/>
      <c r="U84" s="196"/>
      <c r="V84" s="129">
        <v>2</v>
      </c>
      <c r="W84" s="139"/>
      <c r="Z84" s="58"/>
      <c r="AA84" s="13"/>
      <c r="AB84" s="14"/>
      <c r="AC84" s="33"/>
      <c r="AE84" s="12"/>
      <c r="AF84" s="157" t="s">
        <v>93</v>
      </c>
      <c r="AG84" s="214"/>
      <c r="AH84" s="342" t="str">
        <f>IF(AG85=1,AE82,IF(AG85=2,AE86," "))</f>
        <v>PAWLUSIAK Jakub</v>
      </c>
      <c r="AI84" s="346"/>
      <c r="AJ84" s="50"/>
      <c r="AK84" s="17"/>
      <c r="AL84" s="25"/>
      <c r="AM84" s="50"/>
      <c r="AN84" s="17"/>
      <c r="AO84" s="17"/>
      <c r="AS84" s="94"/>
    </row>
    <row r="85" spans="2:45" ht="19.5" customHeight="1">
      <c r="B85" s="94"/>
      <c r="E85" s="94"/>
      <c r="F85" s="199"/>
      <c r="G85" s="12"/>
      <c r="H85" s="12"/>
      <c r="K85" s="140"/>
      <c r="P85" s="131"/>
      <c r="Q85" s="137"/>
      <c r="S85" s="131"/>
      <c r="V85" s="131"/>
      <c r="W85" s="141"/>
      <c r="X85" s="320" t="str">
        <f>IF(AD87=1,AB87,IF(AD87=2,AB85," "))</f>
        <v>RYPEL Sebastian</v>
      </c>
      <c r="Y85" s="320"/>
      <c r="Z85" s="98">
        <v>51</v>
      </c>
      <c r="AA85" s="210"/>
      <c r="AB85" s="347" t="str">
        <f>IF(lista!B58="51.",lista!C58," ")</f>
        <v>RYPEL Sebastian</v>
      </c>
      <c r="AC85" s="348"/>
      <c r="AD85" s="41"/>
      <c r="AE85" s="12"/>
      <c r="AF85" s="163"/>
      <c r="AG85" s="112">
        <v>1</v>
      </c>
      <c r="AH85" s="19"/>
      <c r="AI85" s="168"/>
      <c r="AJ85" s="51"/>
      <c r="AK85" s="21"/>
      <c r="AL85" s="183"/>
      <c r="AM85" s="51"/>
      <c r="AN85" s="21"/>
      <c r="AO85" s="23"/>
      <c r="AS85" s="94"/>
    </row>
    <row r="86" spans="2:45" ht="19.5" customHeight="1">
      <c r="B86" s="94"/>
      <c r="E86" s="94"/>
      <c r="F86" s="199"/>
      <c r="G86" s="12"/>
      <c r="H86" s="12"/>
      <c r="K86" s="140"/>
      <c r="P86" s="131"/>
      <c r="Q86" s="137"/>
      <c r="S86" s="131"/>
      <c r="V86" s="131"/>
      <c r="W86" s="143"/>
      <c r="X86" s="197"/>
      <c r="Y86" s="107"/>
      <c r="Z86" s="99"/>
      <c r="AB86" s="12"/>
      <c r="AC86" s="73"/>
      <c r="AD86" s="217"/>
      <c r="AE86" s="342" t="str">
        <f>IF(AD87=1,AB85,IF(AD87=2,AB87," "))</f>
        <v>BUDZIK Oskar</v>
      </c>
      <c r="AF86" s="342"/>
      <c r="AG86" s="113"/>
      <c r="AH86" s="17"/>
      <c r="AI86" s="59"/>
      <c r="AJ86" s="50"/>
      <c r="AK86" s="17"/>
      <c r="AL86" s="25"/>
      <c r="AM86" s="50"/>
      <c r="AN86" s="17"/>
      <c r="AO86" s="17"/>
      <c r="AS86" s="94"/>
    </row>
    <row r="87" spans="2:45" ht="19.5" customHeight="1">
      <c r="B87" s="94"/>
      <c r="E87" s="94"/>
      <c r="F87" s="199"/>
      <c r="G87" s="12"/>
      <c r="H87" s="12"/>
      <c r="J87" s="4"/>
      <c r="K87" s="142"/>
      <c r="L87" s="45"/>
      <c r="M87" s="4"/>
      <c r="N87" s="123"/>
      <c r="O87" s="322" t="str">
        <f>IF(AJ129=1,AH132,IF(AJ129=2,AH124," "))</f>
        <v>MOREK Radosław</v>
      </c>
      <c r="P87" s="322"/>
      <c r="Q87" s="5" t="s">
        <v>107</v>
      </c>
      <c r="R87" s="45"/>
      <c r="S87" s="125"/>
      <c r="T87" s="123"/>
      <c r="U87" s="329" t="str">
        <f>IF(AG53=1,AE54,IF(AG53=2,AE50," "))</f>
        <v>KUCZEK Karol</v>
      </c>
      <c r="V87" s="329"/>
      <c r="W87" s="144" t="s">
        <v>90</v>
      </c>
      <c r="Z87" s="101">
        <v>14</v>
      </c>
      <c r="AA87" s="213"/>
      <c r="AB87" s="342" t="str">
        <f>IF(lista!B21="14.",lista!C21," ")</f>
        <v>BUDZIK Oskar</v>
      </c>
      <c r="AC87" s="346"/>
      <c r="AD87" s="42">
        <v>2</v>
      </c>
      <c r="AE87" s="19"/>
      <c r="AF87" s="162"/>
      <c r="AG87" s="48"/>
      <c r="AH87" s="21"/>
      <c r="AI87" s="172"/>
      <c r="AJ87" s="51"/>
      <c r="AK87" s="21"/>
      <c r="AL87" s="183"/>
      <c r="AS87" s="94"/>
    </row>
    <row r="88" spans="2:45" ht="19.5" customHeight="1">
      <c r="B88" s="94"/>
      <c r="E88" s="94"/>
      <c r="F88" s="199"/>
      <c r="G88" s="12"/>
      <c r="H88" s="12"/>
      <c r="J88" s="4"/>
      <c r="K88" s="142"/>
      <c r="L88" s="45"/>
      <c r="M88" s="4"/>
      <c r="N88" s="127"/>
      <c r="O88" s="196"/>
      <c r="P88" s="128"/>
      <c r="Q88" s="5"/>
      <c r="R88" s="45"/>
      <c r="S88" s="125"/>
      <c r="T88" s="127"/>
      <c r="U88" s="196"/>
      <c r="V88" s="129"/>
      <c r="W88" s="146"/>
      <c r="X88" s="47"/>
      <c r="Y88" s="28"/>
      <c r="AA88" s="13"/>
      <c r="AB88" s="14"/>
      <c r="AC88" s="33"/>
      <c r="AK88" s="12"/>
      <c r="AL88" s="170" t="s">
        <v>110</v>
      </c>
      <c r="AM88" s="217"/>
      <c r="AN88" s="336" t="str">
        <f>IF(AM89=1,AK80,IF(AM89=2,AK96," "))</f>
        <v>PAWLUSIAK Jakub</v>
      </c>
      <c r="AO88" s="336"/>
      <c r="AS88" s="94"/>
    </row>
    <row r="89" spans="2:45" ht="19.5" customHeight="1">
      <c r="B89" s="94"/>
      <c r="E89" s="94"/>
      <c r="F89" s="199"/>
      <c r="G89" s="12"/>
      <c r="H89" s="12"/>
      <c r="K89" s="140"/>
      <c r="N89" s="94"/>
      <c r="P89" s="131"/>
      <c r="Q89" s="132"/>
      <c r="R89" s="320" t="str">
        <f>IF(S90=1,U87,IF(S90=2,U91," "))</f>
        <v>KUCZEK Karol</v>
      </c>
      <c r="S89" s="320"/>
      <c r="T89" s="94"/>
      <c r="V89" s="131"/>
      <c r="W89" s="133"/>
      <c r="X89" s="320">
        <f>IF(AD91=1,AB91,IF(AD91=2,AB89," "))</f>
        <v>0</v>
      </c>
      <c r="Y89" s="320"/>
      <c r="Z89" s="122">
        <v>11</v>
      </c>
      <c r="AA89" s="210"/>
      <c r="AB89" s="343" t="str">
        <f>IF(lista!B18="11.",lista!C18," ")</f>
        <v>SUŁKOWSKI Kacper</v>
      </c>
      <c r="AC89" s="344"/>
      <c r="AK89" s="12"/>
      <c r="AL89" s="182"/>
      <c r="AM89" s="52">
        <v>1</v>
      </c>
      <c r="AN89" s="19"/>
      <c r="AO89" s="35"/>
      <c r="AS89" s="94"/>
    </row>
    <row r="90" spans="2:45" ht="19.5" customHeight="1">
      <c r="B90" s="94"/>
      <c r="E90" s="94"/>
      <c r="F90" s="199"/>
      <c r="G90" s="12"/>
      <c r="H90" s="12"/>
      <c r="K90" s="145"/>
      <c r="L90" s="320" t="str">
        <f>IF(M91=1,O87,IF(M91=2,O93," "))</f>
        <v>MOREK Radosław</v>
      </c>
      <c r="M90" s="320"/>
      <c r="N90" s="94"/>
      <c r="P90" s="134"/>
      <c r="Q90" s="147"/>
      <c r="R90" s="196"/>
      <c r="S90" s="129">
        <v>1</v>
      </c>
      <c r="T90" s="94"/>
      <c r="V90" s="131"/>
      <c r="W90" s="136"/>
      <c r="X90" s="197"/>
      <c r="Y90" s="107"/>
      <c r="Z90" s="99"/>
      <c r="AB90" s="12"/>
      <c r="AC90" s="73"/>
      <c r="AD90" s="214"/>
      <c r="AE90" s="215" t="str">
        <f>IF(AD91=1,AB89,IF(AD91=2,AB91," "))</f>
        <v>SUŁKOWSKI Kacper</v>
      </c>
      <c r="AF90" s="216"/>
      <c r="AK90" s="12"/>
      <c r="AL90" s="182"/>
      <c r="AN90" s="12"/>
      <c r="AO90" s="26"/>
      <c r="AS90" s="94"/>
    </row>
    <row r="91" spans="2:45" ht="19.5" customHeight="1">
      <c r="B91" s="94"/>
      <c r="E91" s="94"/>
      <c r="F91" s="199"/>
      <c r="G91" s="12"/>
      <c r="H91" s="12"/>
      <c r="K91" s="135"/>
      <c r="L91" s="196"/>
      <c r="M91" s="129">
        <v>1</v>
      </c>
      <c r="N91" s="94"/>
      <c r="P91" s="134"/>
      <c r="Q91" s="140"/>
      <c r="S91" s="131"/>
      <c r="T91" s="138"/>
      <c r="U91" s="320" t="str">
        <f>IF(V92=1,X89,IF(V92=2,X93," "))</f>
        <v>SKOP Maciej</v>
      </c>
      <c r="V91" s="321"/>
      <c r="W91" s="139"/>
      <c r="Z91" s="101">
        <v>54</v>
      </c>
      <c r="AA91" s="213"/>
      <c r="AB91" s="343">
        <f>IF(lista!B61="54.",lista!C61," ")</f>
        <v>0</v>
      </c>
      <c r="AC91" s="344"/>
      <c r="AD91" s="111">
        <v>1</v>
      </c>
      <c r="AE91" s="110"/>
      <c r="AF91" s="162"/>
      <c r="AG91" s="43"/>
      <c r="AK91" s="12"/>
      <c r="AL91" s="182"/>
      <c r="AN91" s="12"/>
      <c r="AO91" s="26"/>
      <c r="AS91" s="94"/>
    </row>
    <row r="92" spans="2:45" ht="19.5" customHeight="1">
      <c r="B92" s="94"/>
      <c r="E92" s="94"/>
      <c r="F92" s="199"/>
      <c r="G92" s="12"/>
      <c r="H92" s="12"/>
      <c r="N92" s="94"/>
      <c r="P92" s="134"/>
      <c r="Q92" s="140"/>
      <c r="S92" s="131"/>
      <c r="T92" s="108"/>
      <c r="U92" s="196"/>
      <c r="V92" s="129">
        <v>2</v>
      </c>
      <c r="W92" s="139"/>
      <c r="Z92" s="58"/>
      <c r="AA92" s="13"/>
      <c r="AB92" s="14"/>
      <c r="AC92" s="33"/>
      <c r="AE92" s="12"/>
      <c r="AF92" s="157" t="s">
        <v>96</v>
      </c>
      <c r="AG92" s="214"/>
      <c r="AH92" s="342" t="str">
        <f>IF(AG93=1,AE90,IF(AG93=2,AE94," "))</f>
        <v>SUŁKOWSKI Kacper</v>
      </c>
      <c r="AI92" s="342"/>
      <c r="AK92" s="12"/>
      <c r="AL92" s="182"/>
      <c r="AN92" s="12"/>
      <c r="AO92" s="26"/>
      <c r="AS92" s="94"/>
    </row>
    <row r="93" spans="2:45" ht="19.5" customHeight="1">
      <c r="B93" s="94"/>
      <c r="E93" s="94"/>
      <c r="F93" s="199"/>
      <c r="G93" s="12"/>
      <c r="H93" s="12"/>
      <c r="N93" s="138"/>
      <c r="O93" s="320" t="str">
        <f>IF(P94=1,R89,IF(P94=2,R97," "))</f>
        <v>JARZĄBEK Szymon</v>
      </c>
      <c r="P93" s="320"/>
      <c r="Q93" s="140"/>
      <c r="S93" s="131"/>
      <c r="V93" s="131"/>
      <c r="W93" s="141"/>
      <c r="X93" s="320" t="str">
        <f>IF(AD95=1,AB95,IF(AD95=2,AB93," "))</f>
        <v>SKOP Maciej</v>
      </c>
      <c r="Y93" s="320"/>
      <c r="Z93" s="98">
        <v>43</v>
      </c>
      <c r="AA93" s="210"/>
      <c r="AB93" s="343" t="str">
        <f>IF(lista!B50="43.",lista!C50," ")</f>
        <v>SKOP Maciej</v>
      </c>
      <c r="AC93" s="344"/>
      <c r="AD93" s="41"/>
      <c r="AE93" s="12"/>
      <c r="AF93" s="163"/>
      <c r="AG93" s="112">
        <v>1</v>
      </c>
      <c r="AH93" s="19"/>
      <c r="AI93" s="168"/>
      <c r="AJ93" s="114"/>
      <c r="AK93" s="12"/>
      <c r="AL93" s="182"/>
      <c r="AN93" s="12"/>
      <c r="AO93" s="26"/>
      <c r="AS93" s="94"/>
    </row>
    <row r="94" spans="2:45" ht="19.5" customHeight="1">
      <c r="B94" s="94"/>
      <c r="E94" s="94"/>
      <c r="F94" s="199"/>
      <c r="G94" s="12"/>
      <c r="H94" s="12"/>
      <c r="N94" s="108"/>
      <c r="O94" s="196"/>
      <c r="P94" s="128">
        <v>2</v>
      </c>
      <c r="Q94" s="140"/>
      <c r="S94" s="131"/>
      <c r="T94" s="28"/>
      <c r="U94" s="47"/>
      <c r="V94" s="148"/>
      <c r="W94" s="146"/>
      <c r="X94" s="47"/>
      <c r="Y94" s="28"/>
      <c r="Z94" s="99"/>
      <c r="AB94" s="12"/>
      <c r="AC94" s="73"/>
      <c r="AD94" s="217"/>
      <c r="AE94" s="342" t="str">
        <f>IF(AD95=1,AB93,IF(AD95=2,AB95," "))</f>
        <v>OLESIAK Grzegorz</v>
      </c>
      <c r="AF94" s="342"/>
      <c r="AG94" s="113"/>
      <c r="AH94" s="17"/>
      <c r="AI94" s="18"/>
      <c r="AJ94" s="50"/>
      <c r="AK94" s="17"/>
      <c r="AL94" s="25"/>
      <c r="AM94" s="50"/>
      <c r="AN94" s="17"/>
      <c r="AO94" s="25"/>
      <c r="AS94" s="94"/>
    </row>
    <row r="95" spans="2:45" ht="19.5" customHeight="1">
      <c r="B95" s="94"/>
      <c r="E95" s="94"/>
      <c r="F95" s="199"/>
      <c r="G95" s="12"/>
      <c r="H95" s="12"/>
      <c r="P95" s="131"/>
      <c r="Q95" s="142"/>
      <c r="R95" s="45"/>
      <c r="S95" s="125"/>
      <c r="T95" s="123"/>
      <c r="U95" s="329" t="str">
        <f>IF(AG45=1,AE46,IF(AG45=2,AE42," "))</f>
        <v>JARZĄBEK Szymon</v>
      </c>
      <c r="V95" s="329"/>
      <c r="W95" s="146" t="s">
        <v>92</v>
      </c>
      <c r="X95" s="47"/>
      <c r="Y95" s="28"/>
      <c r="Z95" s="101">
        <v>22</v>
      </c>
      <c r="AA95" s="213"/>
      <c r="AB95" s="336" t="str">
        <f>IF(lista!B29="22.",lista!C29," ")</f>
        <v>OLESIAK Grzegorz</v>
      </c>
      <c r="AC95" s="337"/>
      <c r="AD95" s="42">
        <v>2</v>
      </c>
      <c r="AE95" s="19"/>
      <c r="AF95" s="162"/>
      <c r="AG95" s="48"/>
      <c r="AH95" s="21"/>
      <c r="AI95" s="169"/>
      <c r="AK95" s="12"/>
      <c r="AL95" s="182"/>
      <c r="AM95" s="51"/>
      <c r="AN95" s="21"/>
      <c r="AO95" s="24"/>
      <c r="AS95" s="94"/>
    </row>
    <row r="96" spans="2:45" ht="19.5" customHeight="1">
      <c r="B96" s="94"/>
      <c r="E96" s="94"/>
      <c r="F96" s="199"/>
      <c r="G96" s="12"/>
      <c r="H96" s="12"/>
      <c r="P96" s="131"/>
      <c r="Q96" s="142"/>
      <c r="R96" s="45"/>
      <c r="S96" s="125"/>
      <c r="T96" s="127"/>
      <c r="U96" s="196"/>
      <c r="V96" s="129"/>
      <c r="W96" s="146"/>
      <c r="X96" s="47"/>
      <c r="Y96" s="28"/>
      <c r="AA96" s="29"/>
      <c r="AB96" s="14"/>
      <c r="AC96" s="33"/>
      <c r="AD96" s="41"/>
      <c r="AE96" s="12"/>
      <c r="AF96" s="163"/>
      <c r="AH96" s="12"/>
      <c r="AI96" s="170" t="s">
        <v>106</v>
      </c>
      <c r="AJ96" s="217"/>
      <c r="AK96" s="336" t="str">
        <f>IF(AJ97=1,AH92,IF(AJ97=2,AH100," "))</f>
        <v>PIÓRO Eryk</v>
      </c>
      <c r="AL96" s="337"/>
      <c r="AM96" s="50"/>
      <c r="AN96" s="17"/>
      <c r="AO96" s="25"/>
      <c r="AS96" s="94"/>
    </row>
    <row r="97" spans="2:45" ht="19.5" customHeight="1">
      <c r="B97" s="138"/>
      <c r="C97" s="320" t="str">
        <f>IF(D98=1,F75,IF(D98=2,F107," "))</f>
        <v>LIS Daniel</v>
      </c>
      <c r="D97" s="320"/>
      <c r="E97" s="175"/>
      <c r="F97" s="158"/>
      <c r="G97" s="93"/>
      <c r="H97" s="12"/>
      <c r="P97" s="131"/>
      <c r="Q97" s="145"/>
      <c r="R97" s="320" t="str">
        <f>IF(S98=1,U95,IF(S98=2,U99," "))</f>
        <v>JARZĄBEK Szymon</v>
      </c>
      <c r="S97" s="320"/>
      <c r="T97" s="94"/>
      <c r="V97" s="131"/>
      <c r="W97" s="133"/>
      <c r="X97" s="320" t="str">
        <f>IF(AD99=1,AB99,IF(AD99=2,AB97," "))</f>
        <v>DZIADEK Dominik</v>
      </c>
      <c r="Y97" s="320"/>
      <c r="Z97" s="122">
        <v>27</v>
      </c>
      <c r="AA97" s="210"/>
      <c r="AB97" s="343" t="str">
        <f>IF(lista!B34="27.",lista!C34," ")</f>
        <v>DZIADEK Dominik</v>
      </c>
      <c r="AC97" s="344"/>
      <c r="AG97" s="48"/>
      <c r="AH97" s="21"/>
      <c r="AI97" s="169"/>
      <c r="AJ97" s="52">
        <v>2</v>
      </c>
      <c r="AK97" s="19"/>
      <c r="AL97" s="184"/>
      <c r="AO97" s="26"/>
      <c r="AS97" s="94"/>
    </row>
    <row r="98" spans="1:45" ht="19.5" customHeight="1">
      <c r="A98" s="12"/>
      <c r="B98" s="151"/>
      <c r="C98" s="196"/>
      <c r="D98" s="129">
        <v>2</v>
      </c>
      <c r="E98" s="176"/>
      <c r="F98" s="203"/>
      <c r="G98" s="148"/>
      <c r="H98" s="12"/>
      <c r="P98" s="131"/>
      <c r="Q98" s="135"/>
      <c r="R98" s="196"/>
      <c r="S98" s="129">
        <v>1</v>
      </c>
      <c r="T98" s="94"/>
      <c r="V98" s="131"/>
      <c r="W98" s="136"/>
      <c r="X98" s="197"/>
      <c r="Y98" s="107"/>
      <c r="Z98" s="99"/>
      <c r="AB98" s="12"/>
      <c r="AC98" s="73"/>
      <c r="AD98" s="214"/>
      <c r="AE98" s="215" t="str">
        <f>IF(AD99=1,AB97,IF(AD99=2,AB99," "))</f>
        <v>SUŁKOWSKI Bartosz</v>
      </c>
      <c r="AF98" s="216"/>
      <c r="AG98" s="44"/>
      <c r="AH98" s="17"/>
      <c r="AI98" s="18"/>
      <c r="AJ98" s="50"/>
      <c r="AK98" s="17"/>
      <c r="AL98" s="17"/>
      <c r="AM98" s="50"/>
      <c r="AN98" s="17"/>
      <c r="AO98" s="25"/>
      <c r="AS98" s="94"/>
    </row>
    <row r="99" spans="5:45" ht="19.5" customHeight="1">
      <c r="E99" s="94"/>
      <c r="F99" s="199"/>
      <c r="G99" s="12"/>
      <c r="H99" s="12"/>
      <c r="P99" s="131"/>
      <c r="Q99" s="137"/>
      <c r="S99" s="131"/>
      <c r="T99" s="138"/>
      <c r="U99" s="320" t="str">
        <f>IF(V100=1,X97,IF(V100=2,X101," "))</f>
        <v>DZIADEK Dominik</v>
      </c>
      <c r="V99" s="321"/>
      <c r="W99" s="139"/>
      <c r="Z99" s="101">
        <v>38</v>
      </c>
      <c r="AA99" s="213"/>
      <c r="AB99" s="343" t="str">
        <f>IF(lista!B45="38.",lista!C45," ")</f>
        <v>SUŁKOWSKI Bartosz</v>
      </c>
      <c r="AC99" s="344"/>
      <c r="AD99" s="111">
        <v>2</v>
      </c>
      <c r="AE99" s="110"/>
      <c r="AF99" s="162"/>
      <c r="AG99" s="43"/>
      <c r="AH99" s="12"/>
      <c r="AI99" s="171"/>
      <c r="AM99" s="51"/>
      <c r="AN99" s="21"/>
      <c r="AO99" s="24"/>
      <c r="AS99" s="94"/>
    </row>
    <row r="100" spans="5:45" ht="19.5" customHeight="1">
      <c r="E100" s="94"/>
      <c r="F100" s="199"/>
      <c r="G100" s="12"/>
      <c r="H100" s="12"/>
      <c r="P100" s="131"/>
      <c r="Q100" s="137"/>
      <c r="S100" s="131"/>
      <c r="T100" s="108"/>
      <c r="U100" s="196"/>
      <c r="V100" s="129">
        <v>1</v>
      </c>
      <c r="W100" s="139"/>
      <c r="Z100" s="58"/>
      <c r="AA100" s="13"/>
      <c r="AB100" s="14"/>
      <c r="AC100" s="33"/>
      <c r="AE100" s="12"/>
      <c r="AF100" s="157" t="s">
        <v>86</v>
      </c>
      <c r="AG100" s="214"/>
      <c r="AH100" s="336" t="str">
        <f>IF(AG101=1,AE98,IF(AG101=2,AE102," "))</f>
        <v>PIÓRO Eryk</v>
      </c>
      <c r="AI100" s="337"/>
      <c r="AJ100" s="50"/>
      <c r="AK100" s="17"/>
      <c r="AL100" s="17"/>
      <c r="AM100" s="8"/>
      <c r="AN100" s="8"/>
      <c r="AO100" s="91"/>
      <c r="AS100" s="94"/>
    </row>
    <row r="101" spans="5:45" ht="19.5" customHeight="1">
      <c r="E101" s="94"/>
      <c r="F101" s="199"/>
      <c r="G101" s="12"/>
      <c r="H101" s="12"/>
      <c r="P101" s="131"/>
      <c r="Q101" s="137"/>
      <c r="S101" s="131"/>
      <c r="V101" s="131"/>
      <c r="W101" s="141"/>
      <c r="X101" s="320">
        <f>IF(AD103=1,AB103,IF(AD103=2,AB101," "))</f>
        <v>0</v>
      </c>
      <c r="Y101" s="320"/>
      <c r="Z101" s="98">
        <v>59</v>
      </c>
      <c r="AA101" s="210"/>
      <c r="AB101" s="343">
        <f>IF(lista!B66="59.",lista!C66," ")</f>
        <v>0</v>
      </c>
      <c r="AC101" s="344"/>
      <c r="AD101" s="41"/>
      <c r="AE101" s="12"/>
      <c r="AF101" s="163"/>
      <c r="AG101" s="112">
        <v>2</v>
      </c>
      <c r="AH101" s="19"/>
      <c r="AI101" s="168"/>
      <c r="AJ101" s="51"/>
      <c r="AK101" s="21"/>
      <c r="AL101" s="185"/>
      <c r="AM101" s="8"/>
      <c r="AN101" s="8"/>
      <c r="AO101" s="91"/>
      <c r="AS101" s="94"/>
    </row>
    <row r="102" spans="5:45" ht="19.5" customHeight="1">
      <c r="E102" s="94"/>
      <c r="F102" s="199"/>
      <c r="G102" s="12"/>
      <c r="H102" s="12"/>
      <c r="P102" s="131"/>
      <c r="Q102" s="137"/>
      <c r="S102" s="131"/>
      <c r="V102" s="131"/>
      <c r="W102" s="143"/>
      <c r="X102" s="197"/>
      <c r="Y102" s="107"/>
      <c r="Z102" s="99"/>
      <c r="AB102" s="12"/>
      <c r="AC102" s="73"/>
      <c r="AD102" s="217"/>
      <c r="AE102" s="342" t="str">
        <f>IF(AD103=1,AB101,IF(AD103=2,AB103," "))</f>
        <v>PIÓRO Eryk</v>
      </c>
      <c r="AF102" s="342"/>
      <c r="AG102" s="113"/>
      <c r="AH102" s="17"/>
      <c r="AI102" s="59"/>
      <c r="AJ102" s="50"/>
      <c r="AK102" s="17"/>
      <c r="AL102" s="17"/>
      <c r="AM102" s="54"/>
      <c r="AN102" s="36"/>
      <c r="AO102" s="37"/>
      <c r="AS102" s="94"/>
    </row>
    <row r="103" spans="5:45" ht="19.5" customHeight="1">
      <c r="E103" s="94"/>
      <c r="F103" s="199"/>
      <c r="G103" s="12"/>
      <c r="H103" s="123"/>
      <c r="I103" s="322" t="str">
        <f>IF(AM57=1,AK64,IF(AM57=2,AK48," "))</f>
        <v>GALUS Mateusz</v>
      </c>
      <c r="J103" s="322"/>
      <c r="K103" s="5" t="s">
        <v>109</v>
      </c>
      <c r="L103" s="45"/>
      <c r="M103" s="4"/>
      <c r="N103" s="123"/>
      <c r="O103" s="322" t="str">
        <f>IF(AJ81=1,AH84,IF(AJ81=2,AH76," "))</f>
        <v>LIS Daniel</v>
      </c>
      <c r="P103" s="322"/>
      <c r="Q103" s="5" t="s">
        <v>106</v>
      </c>
      <c r="R103" s="45"/>
      <c r="S103" s="125"/>
      <c r="T103" s="123"/>
      <c r="U103" s="329" t="str">
        <f>IF(AG37=1,AE38,IF(AG37=2,AE34," "))</f>
        <v>GROMADA Arkadiusz</v>
      </c>
      <c r="V103" s="329"/>
      <c r="W103" s="144" t="s">
        <v>94</v>
      </c>
      <c r="Z103" s="122">
        <v>6</v>
      </c>
      <c r="AA103" s="213"/>
      <c r="AB103" s="336" t="str">
        <f>IF(lista!B13="6.",lista!C13," ")</f>
        <v>PIÓRO Eryk</v>
      </c>
      <c r="AC103" s="337"/>
      <c r="AD103" s="42">
        <v>2</v>
      </c>
      <c r="AE103" s="19"/>
      <c r="AF103" s="162"/>
      <c r="AG103" s="48"/>
      <c r="AH103" s="21"/>
      <c r="AI103" s="172"/>
      <c r="AJ103" s="51"/>
      <c r="AK103" s="21"/>
      <c r="AL103" s="185"/>
      <c r="AM103" s="53"/>
      <c r="AN103" s="12"/>
      <c r="AO103" s="26"/>
      <c r="AS103" s="94"/>
    </row>
    <row r="104" spans="3:45" s="28" customFormat="1" ht="19.5" customHeight="1">
      <c r="C104" s="47"/>
      <c r="E104" s="117"/>
      <c r="F104" s="47"/>
      <c r="H104" s="127"/>
      <c r="I104" s="196"/>
      <c r="J104" s="128"/>
      <c r="K104" s="5"/>
      <c r="L104" s="45"/>
      <c r="M104" s="4"/>
      <c r="N104" s="127"/>
      <c r="O104" s="196"/>
      <c r="P104" s="128"/>
      <c r="Q104" s="5"/>
      <c r="R104" s="45"/>
      <c r="S104" s="125"/>
      <c r="T104" s="127"/>
      <c r="U104" s="196"/>
      <c r="V104" s="129"/>
      <c r="W104" s="146"/>
      <c r="X104" s="47"/>
      <c r="Z104" s="47"/>
      <c r="AA104" s="30"/>
      <c r="AB104" s="31"/>
      <c r="AC104" s="60"/>
      <c r="AD104" s="44"/>
      <c r="AE104" s="345"/>
      <c r="AF104" s="345"/>
      <c r="AG104" s="44"/>
      <c r="AH104" s="17"/>
      <c r="AI104" s="59"/>
      <c r="AJ104" s="50"/>
      <c r="AK104" s="17"/>
      <c r="AL104" s="158"/>
      <c r="AO104" s="121" t="s">
        <v>85</v>
      </c>
      <c r="AP104" s="214"/>
      <c r="AQ104" s="336" t="str">
        <f>IF(AP105=1,AN88,IF(AP105=2,AN120," "))</f>
        <v>WĘGRZYN Łukasz</v>
      </c>
      <c r="AR104" s="336"/>
      <c r="AS104" s="117"/>
    </row>
    <row r="105" spans="5:45" ht="19.5" customHeight="1">
      <c r="E105" s="94"/>
      <c r="F105" s="199"/>
      <c r="G105" s="12"/>
      <c r="H105" s="94"/>
      <c r="N105" s="94"/>
      <c r="P105" s="131"/>
      <c r="Q105" s="132"/>
      <c r="R105" s="320" t="str">
        <f>IF(S106=1,U103,IF(S106=2,U107," "))</f>
        <v>GROMADA Arkadiusz</v>
      </c>
      <c r="S105" s="320"/>
      <c r="T105" s="94"/>
      <c r="V105" s="131"/>
      <c r="W105" s="133"/>
      <c r="X105" s="320">
        <f>IF(AD107=1,AB107,IF(AD107=2,AB105," "))</f>
        <v>0</v>
      </c>
      <c r="Y105" s="320"/>
      <c r="Z105" s="122">
        <v>7</v>
      </c>
      <c r="AA105" s="210"/>
      <c r="AB105" s="343" t="str">
        <f>IF(lista!B14="7.",lista!C14," ")</f>
        <v>BIL Maksymilian</v>
      </c>
      <c r="AC105" s="344"/>
      <c r="AM105" s="10"/>
      <c r="AO105" s="10"/>
      <c r="AP105" s="105">
        <v>2</v>
      </c>
      <c r="AQ105" s="19"/>
      <c r="AR105" s="106"/>
      <c r="AS105" s="12"/>
    </row>
    <row r="106" spans="5:41" ht="19.5" customHeight="1">
      <c r="E106" s="94"/>
      <c r="F106" s="199"/>
      <c r="G106" s="12"/>
      <c r="H106" s="94"/>
      <c r="K106" s="132"/>
      <c r="L106" s="320" t="str">
        <f>IF(M107=1,O103,IF(M107=2,O109," "))</f>
        <v>LIS Daniel</v>
      </c>
      <c r="M106" s="320"/>
      <c r="N106" s="94"/>
      <c r="P106" s="134"/>
      <c r="Q106" s="135"/>
      <c r="R106" s="196"/>
      <c r="S106" s="129">
        <v>1</v>
      </c>
      <c r="T106" s="94"/>
      <c r="V106" s="131"/>
      <c r="W106" s="136"/>
      <c r="X106" s="197"/>
      <c r="Y106" s="107"/>
      <c r="Z106" s="99"/>
      <c r="AB106" s="12"/>
      <c r="AC106" s="73"/>
      <c r="AD106" s="214"/>
      <c r="AE106" s="215" t="str">
        <f>IF(AD107=1,AB105,IF(AD107=2,AB107," "))</f>
        <v>BIL Maksymilian</v>
      </c>
      <c r="AF106" s="216"/>
      <c r="AO106" s="26"/>
    </row>
    <row r="107" spans="5:41" ht="19.5" customHeight="1">
      <c r="E107" s="138"/>
      <c r="F107" s="322" t="str">
        <f>IF(G108=1,I103,IF(G108=2,I113," "))</f>
        <v>LIS Daniel</v>
      </c>
      <c r="G107" s="322"/>
      <c r="H107" s="94"/>
      <c r="K107" s="147"/>
      <c r="L107" s="198"/>
      <c r="M107" s="151">
        <v>1</v>
      </c>
      <c r="N107" s="94"/>
      <c r="P107" s="134"/>
      <c r="Q107" s="137"/>
      <c r="S107" s="131"/>
      <c r="T107" s="138"/>
      <c r="U107" s="320" t="str">
        <f>IF(V108=1,X105,IF(V108=2,X109," "))</f>
        <v>TALAGA Samuel</v>
      </c>
      <c r="V107" s="321"/>
      <c r="W107" s="139"/>
      <c r="Z107" s="101">
        <v>58</v>
      </c>
      <c r="AA107" s="213"/>
      <c r="AB107" s="343">
        <f>IF(lista!B65="58.",lista!C65," ")</f>
        <v>0</v>
      </c>
      <c r="AC107" s="344"/>
      <c r="AD107" s="111">
        <v>1</v>
      </c>
      <c r="AE107" s="110"/>
      <c r="AF107" s="162"/>
      <c r="AG107" s="43"/>
      <c r="AO107" s="26"/>
    </row>
    <row r="108" spans="4:41" ht="19.5" customHeight="1">
      <c r="D108" s="12"/>
      <c r="E108" s="150"/>
      <c r="F108" s="198"/>
      <c r="G108" s="151">
        <v>2</v>
      </c>
      <c r="H108" s="94"/>
      <c r="K108" s="140"/>
      <c r="L108" s="199"/>
      <c r="M108" s="12"/>
      <c r="N108" s="94"/>
      <c r="P108" s="134"/>
      <c r="Q108" s="137"/>
      <c r="S108" s="131"/>
      <c r="T108" s="108"/>
      <c r="U108" s="196"/>
      <c r="V108" s="129">
        <v>2</v>
      </c>
      <c r="W108" s="139"/>
      <c r="Z108" s="58"/>
      <c r="AA108" s="13"/>
      <c r="AB108" s="14"/>
      <c r="AC108" s="33"/>
      <c r="AE108" s="12"/>
      <c r="AF108" s="157" t="s">
        <v>89</v>
      </c>
      <c r="AG108" s="214"/>
      <c r="AH108" s="342" t="str">
        <f>IF(AG109=1,AE106,IF(AG109=2,AE110," "))</f>
        <v>BIL Maksymilian</v>
      </c>
      <c r="AI108" s="342"/>
      <c r="AO108" s="26"/>
    </row>
    <row r="109" spans="8:41" ht="19.5" customHeight="1">
      <c r="H109" s="94"/>
      <c r="K109" s="140"/>
      <c r="L109" s="199"/>
      <c r="M109" s="12"/>
      <c r="N109" s="145"/>
      <c r="O109" s="320" t="str">
        <f>IF(P110=1,R105,IF(P110=2,R113," "))</f>
        <v>PNIACZEK Dominik</v>
      </c>
      <c r="P109" s="320"/>
      <c r="Q109" s="140"/>
      <c r="S109" s="131"/>
      <c r="V109" s="131"/>
      <c r="W109" s="141"/>
      <c r="X109" s="320" t="str">
        <f>IF(AD111=1,AB111,IF(AD111=2,AB109," "))</f>
        <v>TALAGA Samuel</v>
      </c>
      <c r="Y109" s="320"/>
      <c r="Z109" s="98">
        <v>39</v>
      </c>
      <c r="AA109" s="210"/>
      <c r="AB109" s="343" t="str">
        <f>IF(lista!B46="39.",lista!C46," ")</f>
        <v>LECH Sylwester</v>
      </c>
      <c r="AC109" s="344"/>
      <c r="AD109" s="41"/>
      <c r="AE109" s="12"/>
      <c r="AF109" s="163"/>
      <c r="AG109" s="112">
        <v>1</v>
      </c>
      <c r="AH109" s="19"/>
      <c r="AI109" s="168"/>
      <c r="AJ109" s="114"/>
      <c r="AK109" s="12"/>
      <c r="AL109" s="181"/>
      <c r="AN109" s="12"/>
      <c r="AO109" s="26"/>
    </row>
    <row r="110" spans="8:41" ht="19.5" customHeight="1">
      <c r="H110" s="94"/>
      <c r="K110" s="140"/>
      <c r="L110" s="199"/>
      <c r="M110" s="12"/>
      <c r="N110" s="108"/>
      <c r="O110" s="196"/>
      <c r="P110" s="152">
        <v>2</v>
      </c>
      <c r="Q110" s="140"/>
      <c r="S110" s="131"/>
      <c r="T110" s="28"/>
      <c r="U110" s="47"/>
      <c r="V110" s="148"/>
      <c r="W110" s="146"/>
      <c r="X110" s="47"/>
      <c r="Y110" s="28"/>
      <c r="Z110" s="99"/>
      <c r="AB110" s="12"/>
      <c r="AC110" s="73"/>
      <c r="AD110" s="217"/>
      <c r="AE110" s="342" t="str">
        <f>IF(AD111=1,AB109,IF(AD111=2,AB111," "))</f>
        <v>LECH Sylwester</v>
      </c>
      <c r="AF110" s="342"/>
      <c r="AG110" s="113"/>
      <c r="AH110" s="17"/>
      <c r="AI110" s="18"/>
      <c r="AJ110" s="50"/>
      <c r="AK110" s="17"/>
      <c r="AL110" s="17"/>
      <c r="AM110" s="50"/>
      <c r="AN110" s="17"/>
      <c r="AO110" s="25"/>
    </row>
    <row r="111" spans="8:41" ht="19.5" customHeight="1">
      <c r="H111" s="94"/>
      <c r="K111" s="140"/>
      <c r="L111" s="199"/>
      <c r="M111" s="12"/>
      <c r="P111" s="134"/>
      <c r="Q111" s="142"/>
      <c r="R111" s="45"/>
      <c r="S111" s="125"/>
      <c r="T111" s="123"/>
      <c r="U111" s="329" t="str">
        <f>IF(AG29=1,AE30,IF(AG29=2,AE26," "))</f>
        <v>PNIACZEK Dominik</v>
      </c>
      <c r="V111" s="329"/>
      <c r="W111" s="146" t="s">
        <v>95</v>
      </c>
      <c r="X111" s="47"/>
      <c r="Y111" s="28"/>
      <c r="Z111" s="101">
        <v>26</v>
      </c>
      <c r="AA111" s="213"/>
      <c r="AB111" s="336" t="str">
        <f>IF(lista!B33="26.",lista!C33," ")</f>
        <v>TALAGA Samuel</v>
      </c>
      <c r="AC111" s="337"/>
      <c r="AD111" s="42">
        <v>1</v>
      </c>
      <c r="AE111" s="19"/>
      <c r="AF111" s="162"/>
      <c r="AG111" s="48"/>
      <c r="AH111" s="21"/>
      <c r="AI111" s="169"/>
      <c r="AJ111" s="10"/>
      <c r="AL111" s="186"/>
      <c r="AN111" s="12"/>
      <c r="AO111" s="26"/>
    </row>
    <row r="112" spans="8:41" ht="19.5" customHeight="1">
      <c r="H112" s="94"/>
      <c r="K112" s="140"/>
      <c r="L112" s="199"/>
      <c r="M112" s="12"/>
      <c r="P112" s="134"/>
      <c r="Q112" s="142"/>
      <c r="R112" s="45"/>
      <c r="S112" s="125"/>
      <c r="T112" s="127"/>
      <c r="U112" s="196"/>
      <c r="V112" s="129"/>
      <c r="W112" s="146"/>
      <c r="X112" s="47"/>
      <c r="Y112" s="28"/>
      <c r="AA112" s="13"/>
      <c r="AB112" s="14"/>
      <c r="AC112" s="33"/>
      <c r="AD112" s="41"/>
      <c r="AE112" s="12"/>
      <c r="AF112" s="163"/>
      <c r="AH112" s="12"/>
      <c r="AI112" s="170" t="s">
        <v>107</v>
      </c>
      <c r="AJ112" s="214"/>
      <c r="AK112" s="342" t="str">
        <f>IF(AJ113=1,AH108,IF(AJ113=2,AH116," "))</f>
        <v>BIL Maksymilian</v>
      </c>
      <c r="AL112" s="342"/>
      <c r="AN112" s="12"/>
      <c r="AO112" s="26"/>
    </row>
    <row r="113" spans="8:41" ht="19.5" customHeight="1">
      <c r="H113" s="138"/>
      <c r="I113" s="320" t="str">
        <f>IF(J114=1,L106,IF(J114=2,L122," "))</f>
        <v>LIS Daniel</v>
      </c>
      <c r="J113" s="320"/>
      <c r="K113" s="140"/>
      <c r="L113" s="199"/>
      <c r="M113" s="12"/>
      <c r="P113" s="134"/>
      <c r="Q113" s="145"/>
      <c r="R113" s="320" t="str">
        <f>IF(S114=1,U111,IF(S114=2,U115," "))</f>
        <v>PNIACZEK Dominik</v>
      </c>
      <c r="S113" s="320"/>
      <c r="T113" s="94"/>
      <c r="V113" s="131"/>
      <c r="W113" s="133"/>
      <c r="X113" s="320" t="str">
        <f>IF(AD115=1,AB115,IF(AD115=2,AB113," "))</f>
        <v>MORAWIEC Mateusz</v>
      </c>
      <c r="Y113" s="320"/>
      <c r="Z113" s="122">
        <v>23</v>
      </c>
      <c r="AA113" s="210"/>
      <c r="AB113" s="343" t="str">
        <f>IF(lista!B30="23.",lista!C30," ")</f>
        <v>MORAWIEC Mateusz</v>
      </c>
      <c r="AC113" s="344"/>
      <c r="AG113" s="48"/>
      <c r="AH113" s="21"/>
      <c r="AI113" s="169"/>
      <c r="AJ113" s="112">
        <v>1</v>
      </c>
      <c r="AK113" s="19"/>
      <c r="AL113" s="168"/>
      <c r="AM113" s="116"/>
      <c r="AN113" s="21"/>
      <c r="AO113" s="24"/>
    </row>
    <row r="114" spans="8:41" ht="19.5" customHeight="1">
      <c r="H114" s="150"/>
      <c r="I114" s="196"/>
      <c r="J114" s="129">
        <v>1</v>
      </c>
      <c r="K114" s="140"/>
      <c r="L114" s="199"/>
      <c r="M114" s="12"/>
      <c r="P114" s="131"/>
      <c r="Q114" s="135"/>
      <c r="R114" s="196"/>
      <c r="S114" s="129">
        <v>1</v>
      </c>
      <c r="T114" s="94"/>
      <c r="V114" s="131"/>
      <c r="W114" s="136"/>
      <c r="X114" s="197"/>
      <c r="Y114" s="107"/>
      <c r="Z114" s="99"/>
      <c r="AB114" s="12"/>
      <c r="AC114" s="73"/>
      <c r="AD114" s="214"/>
      <c r="AE114" s="215" t="str">
        <f>IF(AD115=1,AB113,IF(AD115=2,AB115," "))</f>
        <v>STANKIEWICZ Tomasz</v>
      </c>
      <c r="AF114" s="216"/>
      <c r="AG114" s="44"/>
      <c r="AH114" s="17"/>
      <c r="AI114" s="18"/>
      <c r="AJ114" s="50"/>
      <c r="AK114" s="17"/>
      <c r="AL114" s="25"/>
      <c r="AM114" s="50"/>
      <c r="AN114" s="17"/>
      <c r="AO114" s="25"/>
    </row>
    <row r="115" spans="11:41" ht="19.5" customHeight="1">
      <c r="K115" s="140"/>
      <c r="L115" s="199"/>
      <c r="M115" s="12"/>
      <c r="P115" s="131"/>
      <c r="Q115" s="137"/>
      <c r="S115" s="131"/>
      <c r="T115" s="138"/>
      <c r="U115" s="320" t="str">
        <f>IF(V116=1,X113,IF(V116=2,X117," "))</f>
        <v>MORAWIEC Mateusz</v>
      </c>
      <c r="V115" s="321"/>
      <c r="W115" s="139"/>
      <c r="Z115" s="101">
        <v>42</v>
      </c>
      <c r="AA115" s="213"/>
      <c r="AB115" s="343" t="str">
        <f>IF(lista!B49="42.",lista!C49," ")</f>
        <v>STANKIEWICZ Tomasz</v>
      </c>
      <c r="AC115" s="344"/>
      <c r="AD115" s="111">
        <v>2</v>
      </c>
      <c r="AE115" s="110"/>
      <c r="AF115" s="162"/>
      <c r="AG115" s="43"/>
      <c r="AH115" s="12"/>
      <c r="AI115" s="171"/>
      <c r="AK115" s="12"/>
      <c r="AL115" s="182"/>
      <c r="AN115" s="12"/>
      <c r="AO115" s="26"/>
    </row>
    <row r="116" spans="11:41" ht="19.5" customHeight="1">
      <c r="K116" s="140"/>
      <c r="L116" s="199"/>
      <c r="M116" s="12"/>
      <c r="P116" s="131"/>
      <c r="Q116" s="137"/>
      <c r="S116" s="131"/>
      <c r="T116" s="108"/>
      <c r="U116" s="196"/>
      <c r="V116" s="129">
        <v>1</v>
      </c>
      <c r="W116" s="139"/>
      <c r="Z116" s="58"/>
      <c r="AA116" s="13"/>
      <c r="AB116" s="14"/>
      <c r="AC116" s="33"/>
      <c r="AE116" s="12"/>
      <c r="AF116" s="157" t="s">
        <v>98</v>
      </c>
      <c r="AG116" s="214"/>
      <c r="AH116" s="336" t="str">
        <f>IF(AG117=1,AE114,IF(AG117=2,AE118," "))</f>
        <v>TATARCZUCH Rafał</v>
      </c>
      <c r="AI116" s="337"/>
      <c r="AJ116" s="50"/>
      <c r="AK116" s="17"/>
      <c r="AL116" s="25"/>
      <c r="AM116" s="50"/>
      <c r="AN116" s="17"/>
      <c r="AO116" s="25"/>
    </row>
    <row r="117" spans="11:41" ht="19.5" customHeight="1">
      <c r="K117" s="140"/>
      <c r="L117" s="199"/>
      <c r="M117" s="12"/>
      <c r="P117" s="131"/>
      <c r="Q117" s="137"/>
      <c r="S117" s="131"/>
      <c r="V117" s="131"/>
      <c r="W117" s="141"/>
      <c r="X117" s="320">
        <f>IF(AD119=1,AB119,IF(AD119=2,AB117," "))</f>
        <v>0</v>
      </c>
      <c r="Y117" s="320"/>
      <c r="Z117" s="98">
        <v>55</v>
      </c>
      <c r="AA117" s="210"/>
      <c r="AB117" s="343">
        <f>IF(lista!B62="55.",lista!C62," ")</f>
        <v>0</v>
      </c>
      <c r="AC117" s="344"/>
      <c r="AD117" s="41"/>
      <c r="AE117" s="12"/>
      <c r="AF117" s="163"/>
      <c r="AG117" s="112">
        <v>2</v>
      </c>
      <c r="AH117" s="19"/>
      <c r="AI117" s="168"/>
      <c r="AJ117" s="51"/>
      <c r="AK117" s="21"/>
      <c r="AL117" s="183"/>
      <c r="AM117" s="51"/>
      <c r="AN117" s="21"/>
      <c r="AO117" s="24"/>
    </row>
    <row r="118" spans="11:41" ht="19.5" customHeight="1">
      <c r="K118" s="140"/>
      <c r="L118" s="199"/>
      <c r="M118" s="12"/>
      <c r="P118" s="131"/>
      <c r="Q118" s="137"/>
      <c r="S118" s="131"/>
      <c r="T118" s="28"/>
      <c r="U118" s="47"/>
      <c r="V118" s="148"/>
      <c r="W118" s="146"/>
      <c r="X118" s="47"/>
      <c r="Y118" s="28"/>
      <c r="Z118" s="99"/>
      <c r="AB118" s="12"/>
      <c r="AC118" s="73"/>
      <c r="AD118" s="217"/>
      <c r="AE118" s="342" t="str">
        <f>IF(AD119=1,AB117,IF(AD119=2,AB119," "))</f>
        <v>TATARCZUCH Rafał</v>
      </c>
      <c r="AF118" s="342"/>
      <c r="AG118" s="113"/>
      <c r="AH118" s="17"/>
      <c r="AI118" s="59"/>
      <c r="AJ118" s="50"/>
      <c r="AK118" s="17"/>
      <c r="AL118" s="25"/>
      <c r="AM118" s="50"/>
      <c r="AN118" s="17"/>
      <c r="AO118" s="25"/>
    </row>
    <row r="119" spans="10:41" ht="19.5" customHeight="1">
      <c r="J119" s="4"/>
      <c r="K119" s="142"/>
      <c r="L119" s="200"/>
      <c r="M119" s="153"/>
      <c r="N119" s="123"/>
      <c r="O119" s="322" t="str">
        <f>IF(AJ97=1,AH100,IF(AJ97=2,AH92," "))</f>
        <v>SUŁKOWSKI Kacper</v>
      </c>
      <c r="P119" s="322"/>
      <c r="Q119" s="5" t="s">
        <v>105</v>
      </c>
      <c r="R119" s="45"/>
      <c r="S119" s="125"/>
      <c r="T119" s="123"/>
      <c r="U119" s="329" t="str">
        <f>IF(AG21=1,AE22,IF(AG21=2,AE18," "))</f>
        <v>PIETRZAK Antoni</v>
      </c>
      <c r="V119" s="329"/>
      <c r="W119" s="146" t="s">
        <v>1</v>
      </c>
      <c r="X119" s="47"/>
      <c r="Y119" s="28"/>
      <c r="Z119" s="101">
        <v>10</v>
      </c>
      <c r="AA119" s="213"/>
      <c r="AB119" s="336" t="str">
        <f>IF(lista!B17="10.",lista!C17," ")</f>
        <v>TATARCZUCH Rafał</v>
      </c>
      <c r="AC119" s="337"/>
      <c r="AD119" s="42">
        <v>2</v>
      </c>
      <c r="AE119" s="19"/>
      <c r="AF119" s="162"/>
      <c r="AG119" s="48"/>
      <c r="AH119" s="21"/>
      <c r="AI119" s="172"/>
      <c r="AJ119" s="51"/>
      <c r="AK119" s="21"/>
      <c r="AL119" s="183"/>
      <c r="AO119" s="26"/>
    </row>
    <row r="120" spans="10:41" ht="19.5" customHeight="1">
      <c r="J120" s="4"/>
      <c r="K120" s="142"/>
      <c r="L120" s="200"/>
      <c r="M120" s="153"/>
      <c r="N120" s="127"/>
      <c r="O120" s="196"/>
      <c r="P120" s="128"/>
      <c r="Q120" s="5"/>
      <c r="R120" s="45"/>
      <c r="S120" s="125"/>
      <c r="T120" s="127"/>
      <c r="U120" s="196"/>
      <c r="V120" s="129"/>
      <c r="W120" s="146"/>
      <c r="X120" s="47"/>
      <c r="Y120" s="28"/>
      <c r="AA120" s="13"/>
      <c r="AB120" s="14"/>
      <c r="AC120" s="33"/>
      <c r="AK120" s="12"/>
      <c r="AL120" s="180" t="s">
        <v>111</v>
      </c>
      <c r="AM120" s="214"/>
      <c r="AN120" s="336" t="str">
        <f>IF(AM121=1,AK112,IF(AM121=2,AK128," "))</f>
        <v>WĘGRZYN Łukasz</v>
      </c>
      <c r="AO120" s="337"/>
    </row>
    <row r="121" spans="11:41" ht="19.5" customHeight="1">
      <c r="K121" s="140"/>
      <c r="L121" s="199"/>
      <c r="M121" s="12"/>
      <c r="N121" s="94"/>
      <c r="P121" s="131"/>
      <c r="Q121" s="132"/>
      <c r="R121" s="320" t="str">
        <f>IF(S122=1,U119,IF(S122=2,U123," "))</f>
        <v>PIETRZAK Antoni</v>
      </c>
      <c r="S121" s="320"/>
      <c r="T121" s="94"/>
      <c r="V121" s="131"/>
      <c r="W121" s="133"/>
      <c r="X121" s="320" t="str">
        <f>IF(AD123=1,AB123,IF(AD123=2,AB121," "))</f>
        <v>MRÓZEK Mateusz</v>
      </c>
      <c r="Y121" s="320"/>
      <c r="Z121" s="122">
        <v>15</v>
      </c>
      <c r="AA121" s="210"/>
      <c r="AB121" s="343" t="str">
        <f>IF(lista!B22="15.",lista!C22," ")</f>
        <v>MOREK Radosław</v>
      </c>
      <c r="AC121" s="344"/>
      <c r="AK121" s="12"/>
      <c r="AL121" s="182"/>
      <c r="AM121" s="52">
        <v>2</v>
      </c>
      <c r="AN121" s="19"/>
      <c r="AO121" s="27"/>
    </row>
    <row r="122" spans="11:41" ht="19.5" customHeight="1">
      <c r="K122" s="145"/>
      <c r="L122" s="320" t="str">
        <f>IF(M123=1,O119,IF(M123=2,O125," "))</f>
        <v>PIETRZAK Antoni</v>
      </c>
      <c r="M122" s="320"/>
      <c r="N122" s="94"/>
      <c r="P122" s="134"/>
      <c r="Q122" s="135"/>
      <c r="R122" s="196"/>
      <c r="S122" s="129">
        <v>1</v>
      </c>
      <c r="T122" s="94"/>
      <c r="V122" s="131"/>
      <c r="W122" s="136"/>
      <c r="X122" s="197"/>
      <c r="Y122" s="107"/>
      <c r="Z122" s="99"/>
      <c r="AB122" s="12"/>
      <c r="AC122" s="73"/>
      <c r="AD122" s="214"/>
      <c r="AE122" s="215" t="str">
        <f>IF(AD123=1,AB121,IF(AD123=2,AB123," "))</f>
        <v>MOREK Radosław</v>
      </c>
      <c r="AF122" s="216"/>
      <c r="AK122" s="12"/>
      <c r="AL122" s="182"/>
      <c r="AN122" s="12"/>
      <c r="AO122" s="15"/>
    </row>
    <row r="123" spans="11:41" ht="19.5" customHeight="1">
      <c r="K123" s="135"/>
      <c r="L123" s="196"/>
      <c r="M123" s="129">
        <v>2</v>
      </c>
      <c r="N123" s="94"/>
      <c r="P123" s="134"/>
      <c r="Q123" s="137"/>
      <c r="S123" s="131"/>
      <c r="T123" s="138"/>
      <c r="U123" s="320" t="str">
        <f>IF(V124=1,X121,IF(V124=2,X125," "))</f>
        <v>PAWŁOWSKI Kamil</v>
      </c>
      <c r="V123" s="321"/>
      <c r="W123" s="139"/>
      <c r="Z123" s="101">
        <v>50</v>
      </c>
      <c r="AA123" s="213"/>
      <c r="AB123" s="343" t="str">
        <f>IF(lista!B57="50.",lista!C57," ")</f>
        <v>MRÓZEK Mateusz</v>
      </c>
      <c r="AC123" s="344"/>
      <c r="AD123" s="111">
        <v>1</v>
      </c>
      <c r="AE123" s="110"/>
      <c r="AF123" s="162"/>
      <c r="AG123" s="43"/>
      <c r="AK123" s="12"/>
      <c r="AL123" s="182"/>
      <c r="AN123" s="12"/>
      <c r="AO123" s="15"/>
    </row>
    <row r="124" spans="14:41" ht="19.5" customHeight="1">
      <c r="N124" s="94"/>
      <c r="P124" s="134"/>
      <c r="Q124" s="137"/>
      <c r="S124" s="131"/>
      <c r="T124" s="108"/>
      <c r="U124" s="196"/>
      <c r="V124" s="129">
        <v>2</v>
      </c>
      <c r="W124" s="139"/>
      <c r="Z124" s="58"/>
      <c r="AA124" s="13"/>
      <c r="AB124" s="14"/>
      <c r="AC124" s="33"/>
      <c r="AE124" s="12"/>
      <c r="AF124" s="157" t="s">
        <v>99</v>
      </c>
      <c r="AG124" s="214"/>
      <c r="AH124" s="342" t="str">
        <f>IF(AG125=1,AE122,IF(AG125=2,AE126," "))</f>
        <v>MOREK Radosław</v>
      </c>
      <c r="AI124" s="342"/>
      <c r="AK124" s="12"/>
      <c r="AL124" s="182"/>
      <c r="AN124" s="12"/>
      <c r="AO124" s="15"/>
    </row>
    <row r="125" spans="14:41" ht="19.5" customHeight="1">
      <c r="N125" s="138"/>
      <c r="O125" s="320" t="str">
        <f>IF(P126=1,R121,IF(P126=2,R129," "))</f>
        <v>PIETRZAK Antoni</v>
      </c>
      <c r="P125" s="320"/>
      <c r="Q125" s="140"/>
      <c r="S125" s="131"/>
      <c r="V125" s="131"/>
      <c r="W125" s="141"/>
      <c r="X125" s="320" t="str">
        <f>IF(AD127=1,AB127,IF(AD127=2,AB125," "))</f>
        <v>PAWŁOWSKI Kamil</v>
      </c>
      <c r="Y125" s="320"/>
      <c r="Z125" s="98">
        <v>47</v>
      </c>
      <c r="AA125" s="210"/>
      <c r="AB125" s="343" t="str">
        <f>IF(lista!B54="47.",lista!C54," ")</f>
        <v>OKOŃSKI Piotr</v>
      </c>
      <c r="AC125" s="344"/>
      <c r="AD125" s="41"/>
      <c r="AE125" s="12"/>
      <c r="AF125" s="163"/>
      <c r="AG125" s="112">
        <v>1</v>
      </c>
      <c r="AH125" s="19"/>
      <c r="AI125" s="168"/>
      <c r="AJ125" s="114"/>
      <c r="AK125" s="12"/>
      <c r="AL125" s="182"/>
      <c r="AN125" s="12"/>
      <c r="AO125" s="15"/>
    </row>
    <row r="126" spans="14:41" ht="19.5" customHeight="1">
      <c r="N126" s="108"/>
      <c r="O126" s="196"/>
      <c r="P126" s="152">
        <v>1</v>
      </c>
      <c r="Q126" s="140"/>
      <c r="S126" s="131"/>
      <c r="T126" s="28"/>
      <c r="U126" s="47"/>
      <c r="V126" s="148"/>
      <c r="W126" s="146"/>
      <c r="X126" s="47"/>
      <c r="Y126" s="28"/>
      <c r="Z126" s="99"/>
      <c r="AB126" s="12"/>
      <c r="AC126" s="73"/>
      <c r="AD126" s="217"/>
      <c r="AE126" s="342" t="str">
        <f>IF(AD127=1,AB125,IF(AD127=2,AB127," "))</f>
        <v>OKOŃSKI Piotr</v>
      </c>
      <c r="AF126" s="342"/>
      <c r="AG126" s="113"/>
      <c r="AH126" s="17"/>
      <c r="AI126" s="18"/>
      <c r="AJ126" s="50"/>
      <c r="AK126" s="17"/>
      <c r="AL126" s="25"/>
      <c r="AM126" s="50"/>
      <c r="AN126" s="17"/>
      <c r="AO126" s="17"/>
    </row>
    <row r="127" spans="16:41" ht="19.5" customHeight="1">
      <c r="P127" s="131"/>
      <c r="Q127" s="142"/>
      <c r="R127" s="45"/>
      <c r="S127" s="125"/>
      <c r="T127" s="123"/>
      <c r="U127" s="329" t="str">
        <f>IF(AG13=1,AE14,IF(AG13=2,AE10," "))</f>
        <v>KAIM Michał</v>
      </c>
      <c r="V127" s="329"/>
      <c r="W127" s="144" t="s">
        <v>0</v>
      </c>
      <c r="Z127" s="101">
        <v>18</v>
      </c>
      <c r="AA127" s="213"/>
      <c r="AB127" s="336" t="str">
        <f>IF(lista!B25="18.",lista!C25," ")</f>
        <v>PAWŁOWSKI Kamil</v>
      </c>
      <c r="AC127" s="337"/>
      <c r="AD127" s="42">
        <v>1</v>
      </c>
      <c r="AE127" s="19"/>
      <c r="AF127" s="162"/>
      <c r="AG127" s="48"/>
      <c r="AH127" s="21"/>
      <c r="AI127" s="169"/>
      <c r="AK127" s="12"/>
      <c r="AL127" s="182"/>
      <c r="AM127" s="51"/>
      <c r="AN127" s="21"/>
      <c r="AO127" s="23"/>
    </row>
    <row r="128" spans="16:41" ht="19.5" customHeight="1">
      <c r="P128" s="131"/>
      <c r="Q128" s="142"/>
      <c r="R128" s="45"/>
      <c r="S128" s="125"/>
      <c r="T128" s="127"/>
      <c r="U128" s="196"/>
      <c r="V128" s="129"/>
      <c r="W128" s="144"/>
      <c r="AA128" s="13"/>
      <c r="AB128" s="14"/>
      <c r="AC128" s="33"/>
      <c r="AD128" s="41"/>
      <c r="AE128" s="12"/>
      <c r="AF128" s="163"/>
      <c r="AH128" s="12"/>
      <c r="AI128" s="170" t="s">
        <v>108</v>
      </c>
      <c r="AJ128" s="217"/>
      <c r="AK128" s="336" t="str">
        <f>IF(AJ129=1,AH124,IF(AJ129=2,AH132," "))</f>
        <v>WĘGRZYN Łukasz</v>
      </c>
      <c r="AL128" s="337"/>
      <c r="AM128" s="50"/>
      <c r="AN128" s="17"/>
      <c r="AO128" s="17"/>
    </row>
    <row r="129" spans="16:38" ht="19.5" customHeight="1">
      <c r="P129" s="131"/>
      <c r="Q129" s="145"/>
      <c r="R129" s="320" t="str">
        <f>IF(S130=1,U127,IF(S130=2,U131," "))</f>
        <v>KAIM Michał</v>
      </c>
      <c r="S129" s="320"/>
      <c r="T129" s="94"/>
      <c r="V129" s="131"/>
      <c r="W129" s="133"/>
      <c r="X129" s="320" t="str">
        <f>IF(AD131=1,AB131,IF(AD131=2,AB129," "))</f>
        <v>CHMIELAK Piotr</v>
      </c>
      <c r="Y129" s="320"/>
      <c r="Z129" s="122">
        <v>31</v>
      </c>
      <c r="AA129" s="210"/>
      <c r="AB129" s="343" t="str">
        <f>IF(lista!B38="31.",lista!C38," ")</f>
        <v>ROZUM Dawid</v>
      </c>
      <c r="AC129" s="344"/>
      <c r="AG129" s="48"/>
      <c r="AH129" s="21"/>
      <c r="AI129" s="169"/>
      <c r="AJ129" s="52">
        <v>2</v>
      </c>
      <c r="AK129" s="19"/>
      <c r="AL129" s="184"/>
    </row>
    <row r="130" spans="16:41" ht="19.5" customHeight="1">
      <c r="P130" s="131"/>
      <c r="Q130" s="135"/>
      <c r="R130" s="196"/>
      <c r="S130" s="129">
        <v>1</v>
      </c>
      <c r="T130" s="94"/>
      <c r="V130" s="131"/>
      <c r="W130" s="136"/>
      <c r="X130" s="197"/>
      <c r="Y130" s="107"/>
      <c r="Z130" s="99"/>
      <c r="AB130" s="12"/>
      <c r="AC130" s="73"/>
      <c r="AD130" s="214"/>
      <c r="AE130" s="215" t="str">
        <f>IF(AD131=1,AB129,IF(AD131=2,AB131," "))</f>
        <v>ROZUM Dawid</v>
      </c>
      <c r="AF130" s="216"/>
      <c r="AG130" s="44"/>
      <c r="AH130" s="17"/>
      <c r="AI130" s="18"/>
      <c r="AJ130" s="50"/>
      <c r="AK130" s="17"/>
      <c r="AL130" s="17"/>
      <c r="AM130" s="50"/>
      <c r="AN130" s="17"/>
      <c r="AO130" s="17"/>
    </row>
    <row r="131" spans="16:41" ht="19.5" customHeight="1">
      <c r="P131" s="131"/>
      <c r="Q131" s="137"/>
      <c r="S131" s="131"/>
      <c r="T131" s="138"/>
      <c r="U131" s="320" t="str">
        <f>IF(V132=1,X129,IF(V132=2,X133," "))</f>
        <v>CHMIELAK Piotr</v>
      </c>
      <c r="V131" s="321"/>
      <c r="W131" s="139"/>
      <c r="Z131" s="101">
        <v>34</v>
      </c>
      <c r="AA131" s="213"/>
      <c r="AB131" s="343" t="str">
        <f>IF(lista!B41="34.",lista!C41," ")</f>
        <v>CHMIELAK Piotr</v>
      </c>
      <c r="AC131" s="344"/>
      <c r="AD131" s="111">
        <v>1</v>
      </c>
      <c r="AE131" s="110"/>
      <c r="AF131" s="162"/>
      <c r="AG131" s="43"/>
      <c r="AH131" s="12"/>
      <c r="AI131" s="171"/>
      <c r="AM131" s="51"/>
      <c r="AN131" s="21"/>
      <c r="AO131" s="23"/>
    </row>
    <row r="132" spans="16:41" ht="19.5" customHeight="1">
      <c r="P132" s="131"/>
      <c r="Q132" s="137"/>
      <c r="S132" s="131"/>
      <c r="T132" s="108"/>
      <c r="U132" s="196"/>
      <c r="V132" s="129">
        <v>1</v>
      </c>
      <c r="W132" s="139"/>
      <c r="Z132" s="58"/>
      <c r="AA132" s="13"/>
      <c r="AB132" s="14"/>
      <c r="AC132" s="33"/>
      <c r="AE132" s="12"/>
      <c r="AF132" s="157" t="s">
        <v>100</v>
      </c>
      <c r="AG132" s="214"/>
      <c r="AH132" s="336" t="str">
        <f>IF(AG133=1,AE130,IF(AG133=2,AE134," "))</f>
        <v>WĘGRZYN Łukasz</v>
      </c>
      <c r="AI132" s="337"/>
      <c r="AJ132" s="50"/>
      <c r="AK132" s="17"/>
      <c r="AL132" s="17"/>
      <c r="AM132" s="50"/>
      <c r="AN132" s="17"/>
      <c r="AO132" s="17"/>
    </row>
    <row r="133" spans="16:38" ht="19.5" customHeight="1">
      <c r="P133" s="131"/>
      <c r="Q133" s="137"/>
      <c r="S133" s="131"/>
      <c r="V133" s="131"/>
      <c r="W133" s="141"/>
      <c r="X133" s="320">
        <f>IF(AD135=1,AB135,IF(AD135=2,AB133," "))</f>
        <v>0</v>
      </c>
      <c r="Y133" s="320"/>
      <c r="Z133" s="98">
        <v>63</v>
      </c>
      <c r="AA133" s="210"/>
      <c r="AB133" s="343">
        <f>IF(lista!B70="63.",lista!C70," ")</f>
        <v>0</v>
      </c>
      <c r="AC133" s="344"/>
      <c r="AD133" s="41"/>
      <c r="AE133" s="12"/>
      <c r="AF133" s="163"/>
      <c r="AG133" s="112">
        <v>2</v>
      </c>
      <c r="AH133" s="19"/>
      <c r="AI133" s="168"/>
      <c r="AJ133" s="51"/>
      <c r="AK133" s="21"/>
      <c r="AL133" s="185"/>
    </row>
    <row r="134" spans="16:34" ht="19.5" customHeight="1">
      <c r="P134" s="131"/>
      <c r="Q134" s="137"/>
      <c r="S134" s="131"/>
      <c r="V134" s="131"/>
      <c r="W134" s="143"/>
      <c r="X134" s="197"/>
      <c r="Y134" s="107"/>
      <c r="Z134" s="99"/>
      <c r="AB134" s="12"/>
      <c r="AC134" s="73"/>
      <c r="AD134" s="217"/>
      <c r="AE134" s="342" t="str">
        <f>IF(AD135=1,AB133,IF(AD135=2,AB135," "))</f>
        <v>WĘGRZYN Łukasz</v>
      </c>
      <c r="AF134" s="342"/>
      <c r="AG134" s="113"/>
      <c r="AH134" s="17"/>
    </row>
    <row r="135" spans="16:41" ht="19.5" customHeight="1">
      <c r="P135" s="131"/>
      <c r="Q135" s="137"/>
      <c r="S135" s="131"/>
      <c r="V135" s="131"/>
      <c r="W135" s="144"/>
      <c r="Z135" s="101">
        <v>2</v>
      </c>
      <c r="AA135" s="213"/>
      <c r="AB135" s="336" t="str">
        <f>IF(lista!B9="2.",lista!C9," ")</f>
        <v>WĘGRZYN Łukasz</v>
      </c>
      <c r="AC135" s="337"/>
      <c r="AD135" s="42">
        <v>2</v>
      </c>
      <c r="AE135" s="19"/>
      <c r="AF135" s="162"/>
      <c r="AG135" s="48"/>
      <c r="AH135" s="21"/>
      <c r="AJ135" s="338"/>
      <c r="AK135" s="338"/>
      <c r="AL135" s="338"/>
      <c r="AM135" s="338"/>
      <c r="AN135" s="338"/>
      <c r="AO135" s="338"/>
    </row>
    <row r="136" spans="26:41" ht="19.5" customHeight="1">
      <c r="Z136" s="71"/>
      <c r="AA136" s="16"/>
      <c r="AB136" s="72"/>
      <c r="AC136" s="72"/>
      <c r="AD136" s="48"/>
      <c r="AE136" s="21"/>
      <c r="AF136" s="164"/>
      <c r="AG136" s="48"/>
      <c r="AH136" s="21"/>
      <c r="AI136" s="59"/>
      <c r="AJ136" s="339" t="s">
        <v>43</v>
      </c>
      <c r="AK136" s="340"/>
      <c r="AL136" s="341"/>
      <c r="AM136" s="339" t="s">
        <v>44</v>
      </c>
      <c r="AN136" s="340"/>
      <c r="AO136" s="341"/>
    </row>
    <row r="137" spans="2:38" ht="19.5" customHeight="1">
      <c r="B137" s="314" t="s">
        <v>112</v>
      </c>
      <c r="C137" s="315"/>
      <c r="D137" s="316"/>
      <c r="E137" s="189"/>
      <c r="F137" s="204" t="s">
        <v>113</v>
      </c>
      <c r="G137" s="190"/>
      <c r="H137" s="323" t="s">
        <v>114</v>
      </c>
      <c r="I137" s="324"/>
      <c r="J137" s="325"/>
      <c r="K137" s="326" t="s">
        <v>115</v>
      </c>
      <c r="L137" s="327"/>
      <c r="M137" s="328"/>
      <c r="N137" s="308" t="s">
        <v>116</v>
      </c>
      <c r="O137" s="309"/>
      <c r="P137" s="310"/>
      <c r="Q137" s="311" t="s">
        <v>117</v>
      </c>
      <c r="R137" s="312"/>
      <c r="S137" s="313"/>
      <c r="T137" s="314" t="s">
        <v>118</v>
      </c>
      <c r="U137" s="315"/>
      <c r="V137" s="316"/>
      <c r="W137" s="317" t="s">
        <v>119</v>
      </c>
      <c r="X137" s="318"/>
      <c r="Y137" s="319"/>
      <c r="Z137" s="71"/>
      <c r="AA137" s="16"/>
      <c r="AB137" s="72"/>
      <c r="AC137" s="72"/>
      <c r="AD137" s="48"/>
      <c r="AE137" s="21"/>
      <c r="AF137" s="164"/>
      <c r="AG137" s="48"/>
      <c r="AH137" s="21"/>
      <c r="AJ137" s="88"/>
      <c r="AK137" s="89"/>
      <c r="AL137" s="187"/>
    </row>
    <row r="138" spans="26:41" ht="19.5" customHeight="1">
      <c r="Z138" s="71"/>
      <c r="AA138" s="16"/>
      <c r="AB138" s="72"/>
      <c r="AC138" s="72"/>
      <c r="AD138" s="48"/>
      <c r="AE138" s="21"/>
      <c r="AF138" s="164"/>
      <c r="AG138" s="48"/>
      <c r="AH138" s="21"/>
      <c r="AI138" s="173" t="s">
        <v>0</v>
      </c>
      <c r="AJ138" s="210"/>
      <c r="AK138" s="211" t="str">
        <f>IF(AP41=1,AN56,IF(AP41=2,AN24," "))</f>
        <v>PAJĄK Dawid</v>
      </c>
      <c r="AL138" s="212"/>
      <c r="AM138" s="40"/>
      <c r="AN138" s="12"/>
      <c r="AO138" s="22"/>
    </row>
    <row r="139" spans="3:41" s="4" customFormat="1" ht="19.5" customHeight="1">
      <c r="C139" s="45"/>
      <c r="F139" s="45"/>
      <c r="I139" s="45"/>
      <c r="K139" s="5"/>
      <c r="L139" s="45"/>
      <c r="O139" s="45"/>
      <c r="R139" s="45"/>
      <c r="U139" s="45"/>
      <c r="X139" s="45"/>
      <c r="Z139" s="6"/>
      <c r="AA139" s="7"/>
      <c r="AB139" s="7"/>
      <c r="AC139" s="32"/>
      <c r="AD139" s="39"/>
      <c r="AE139" s="206"/>
      <c r="AF139" s="157"/>
      <c r="AG139" s="39"/>
      <c r="AH139" s="7"/>
      <c r="AI139" s="172"/>
      <c r="AJ139" s="9"/>
      <c r="AK139" s="12"/>
      <c r="AL139" s="188"/>
      <c r="AM139" s="217"/>
      <c r="AN139" s="219" t="str">
        <f>IF(AM140=1,AK138,IF(AM140=2,AK140," "))</f>
        <v>PAWLUSIAK Jakub</v>
      </c>
      <c r="AO139" s="219"/>
    </row>
    <row r="140" spans="26:41" ht="19.5" customHeight="1">
      <c r="Z140" s="92"/>
      <c r="AI140" s="173" t="s">
        <v>1</v>
      </c>
      <c r="AJ140" s="213"/>
      <c r="AK140" s="219" t="str">
        <f>IF(AP105=1,AN120,IF(AP105=2,AN88," "))</f>
        <v>PAWLUSIAK Jakub</v>
      </c>
      <c r="AL140" s="220"/>
      <c r="AM140" s="42">
        <v>2</v>
      </c>
      <c r="AN140" s="19"/>
      <c r="AO140" s="20"/>
    </row>
    <row r="142" spans="3:32" ht="18.75">
      <c r="C142" s="245" t="s">
        <v>136</v>
      </c>
      <c r="D142" s="246"/>
      <c r="E142" s="247" t="s">
        <v>137</v>
      </c>
      <c r="F142" s="248"/>
      <c r="G142" s="94"/>
      <c r="I142" s="251" t="s">
        <v>138</v>
      </c>
      <c r="J142" s="252"/>
      <c r="K142" s="359" t="s">
        <v>139</v>
      </c>
      <c r="L142" s="360"/>
      <c r="O142" s="308" t="s">
        <v>140</v>
      </c>
      <c r="P142" s="310"/>
      <c r="Q142" s="364" t="s">
        <v>141</v>
      </c>
      <c r="R142" s="365"/>
      <c r="S142" s="94"/>
      <c r="U142" s="369" t="s">
        <v>142</v>
      </c>
      <c r="V142" s="370"/>
      <c r="W142" s="253" t="s">
        <v>143</v>
      </c>
      <c r="X142" s="254"/>
      <c r="Y142" s="94"/>
      <c r="AB142" s="375" t="s">
        <v>146</v>
      </c>
      <c r="AC142" s="376"/>
      <c r="AD142" s="317" t="s">
        <v>145</v>
      </c>
      <c r="AE142" s="319"/>
      <c r="AF142" s="255"/>
    </row>
    <row r="143" spans="3:31" ht="18.75">
      <c r="C143" s="10"/>
      <c r="D143" s="131"/>
      <c r="E143" s="137"/>
      <c r="F143" s="10"/>
      <c r="I143" s="10"/>
      <c r="J143" s="131"/>
      <c r="L143" s="10"/>
      <c r="O143" s="10"/>
      <c r="Q143" s="46"/>
      <c r="R143" s="9"/>
      <c r="U143" s="10"/>
      <c r="W143" s="46"/>
      <c r="X143" s="9"/>
      <c r="AC143" s="10"/>
      <c r="AD143" s="46"/>
      <c r="AE143" s="9"/>
    </row>
    <row r="144" spans="3:41" ht="18.75">
      <c r="C144" s="358" t="str">
        <f>IF(G12=1,I17,IF(G12=2,I7," "))</f>
        <v>PIÓRO Eryk</v>
      </c>
      <c r="D144" s="358"/>
      <c r="E144" s="199"/>
      <c r="F144" s="9"/>
      <c r="I144" s="361" t="str">
        <f>IF(J18=1,L26,IF(J18=2,L10," "))</f>
        <v>PETKA Krzysztof</v>
      </c>
      <c r="J144" s="361"/>
      <c r="K144" s="199"/>
      <c r="L144" s="9"/>
      <c r="O144" s="366" t="str">
        <f>IF(M11=1,O13,IF(M11=2,O7," "))</f>
        <v>ROZUM Dawid</v>
      </c>
      <c r="P144" s="366"/>
      <c r="Q144" s="199"/>
      <c r="R144" s="9"/>
      <c r="U144" s="371" t="str">
        <f>IF(P14=1,R17,IF(P14=2,R9," "))</f>
        <v>OKOŃSKI Piotr</v>
      </c>
      <c r="V144" s="371"/>
      <c r="W144" s="199"/>
      <c r="X144" s="9"/>
      <c r="AB144" s="374">
        <f>IF(V12=1,X13,IF(V12=2,X9," "))</f>
        <v>0</v>
      </c>
      <c r="AC144" s="374"/>
      <c r="AD144" s="199"/>
      <c r="AE144" s="9"/>
      <c r="AH144" s="28"/>
      <c r="AI144" s="172"/>
      <c r="AJ144" s="51"/>
      <c r="AK144" s="28"/>
      <c r="AL144" s="185"/>
      <c r="AM144" s="51"/>
      <c r="AN144" s="28"/>
      <c r="AO144" s="23"/>
    </row>
    <row r="145" spans="3:41" ht="18.75">
      <c r="C145" s="10"/>
      <c r="E145" s="356" t="str">
        <f>IF(E146=1,C144,IF(E146=2,C146," "))</f>
        <v>PIÓRO Eryk</v>
      </c>
      <c r="F145" s="357"/>
      <c r="I145" s="10"/>
      <c r="K145" s="362" t="str">
        <f>IF(K146=1,I144,IF(K146=2,I146," "))</f>
        <v>PETKA Krzysztof</v>
      </c>
      <c r="L145" s="363"/>
      <c r="O145" s="10"/>
      <c r="Q145" s="367" t="str">
        <f>IF(Q146=1,O144,IF(Q146=2,O146," "))</f>
        <v>ROZUM Dawid</v>
      </c>
      <c r="R145" s="368"/>
      <c r="U145" s="10"/>
      <c r="W145" s="372" t="str">
        <f>IF(W146=1,U144,IF(W146=2,U146," "))</f>
        <v>OKOŃSKI Piotr</v>
      </c>
      <c r="X145" s="373"/>
      <c r="AC145" s="10"/>
      <c r="AD145" s="377" t="str">
        <f>IF(AD146=1,AB144,IF(AD146=2,AB146," "))</f>
        <v>Kupiec Andrzej</v>
      </c>
      <c r="AE145" s="378"/>
      <c r="AH145" s="28"/>
      <c r="AI145" s="172"/>
      <c r="AJ145" s="8"/>
      <c r="AK145" s="8"/>
      <c r="AL145" s="8"/>
      <c r="AM145" s="8"/>
      <c r="AN145" s="8"/>
      <c r="AO145" s="8"/>
    </row>
    <row r="146" spans="3:41" ht="18.75">
      <c r="C146" s="358" t="str">
        <f>IF(G44=1,I49,IF(G44=2,I39," "))</f>
        <v>BIL Maksymilian</v>
      </c>
      <c r="D146" s="358"/>
      <c r="E146" s="249">
        <v>1</v>
      </c>
      <c r="F146" s="250"/>
      <c r="I146" s="361" t="str">
        <f>IF(J50=1,L58,IF(J50=2,L42," "))</f>
        <v>MICHALCZYK Jakub</v>
      </c>
      <c r="J146" s="361"/>
      <c r="K146" s="249">
        <v>1</v>
      </c>
      <c r="L146" s="250"/>
      <c r="O146" s="366" t="str">
        <f>IF(M27=1,O29,IF(M27=2,O23," "))</f>
        <v>LECH Sylwester</v>
      </c>
      <c r="P146" s="366"/>
      <c r="Q146" s="249">
        <v>1</v>
      </c>
      <c r="R146" s="250"/>
      <c r="U146" s="304" t="str">
        <f>IF(P30=1,R33,IF(P30=2,R25," "))</f>
        <v>STANKIEWICZ Tomasz</v>
      </c>
      <c r="V146" s="304"/>
      <c r="W146" s="249">
        <v>1</v>
      </c>
      <c r="X146" s="250"/>
      <c r="AB146" s="374" t="str">
        <f>IF(V20=1,X21,IF(V20=2,X17," "))</f>
        <v>Kupiec Andrzej</v>
      </c>
      <c r="AC146" s="374"/>
      <c r="AD146" s="249">
        <v>2</v>
      </c>
      <c r="AE146" s="250"/>
      <c r="AH146" s="28"/>
      <c r="AI146" s="59"/>
      <c r="AJ146" s="8"/>
      <c r="AK146" s="8"/>
      <c r="AL146" s="8"/>
      <c r="AM146" s="8"/>
      <c r="AN146" s="8"/>
      <c r="AO146" s="8"/>
    </row>
    <row r="147" spans="3:41" ht="18.75">
      <c r="C147" s="10"/>
      <c r="E147" s="46"/>
      <c r="F147" s="9"/>
      <c r="I147" s="10"/>
      <c r="K147" s="46"/>
      <c r="L147" s="9"/>
      <c r="O147" s="10"/>
      <c r="Q147" s="46"/>
      <c r="R147" s="9"/>
      <c r="U147" s="10"/>
      <c r="W147" s="46"/>
      <c r="X147" s="9"/>
      <c r="AC147" s="10"/>
      <c r="AD147" s="46"/>
      <c r="AE147" s="9"/>
      <c r="AH147" s="28"/>
      <c r="AI147" s="158"/>
      <c r="AJ147" s="16"/>
      <c r="AK147" s="72"/>
      <c r="AL147" s="72"/>
      <c r="AM147" s="48"/>
      <c r="AN147" s="28"/>
      <c r="AO147" s="193"/>
    </row>
    <row r="148" spans="3:41" ht="18.75">
      <c r="C148" s="358" t="str">
        <f>IF(G76=1,I81,IF(G76=2,I71," "))</f>
        <v>PODSIADŁO Dominik</v>
      </c>
      <c r="D148" s="358"/>
      <c r="E148" s="199"/>
      <c r="F148" s="9"/>
      <c r="I148" s="361" t="str">
        <f>IF(J82=1,L90,IF(J82=2,L74," "))</f>
        <v>MOREK Radosław</v>
      </c>
      <c r="J148" s="361"/>
      <c r="K148" s="199"/>
      <c r="L148" s="9"/>
      <c r="O148" s="366" t="str">
        <f>IF(M43=1,O45,IF(M43=2,O39," "))</f>
        <v>OLESIAK Grzegorz</v>
      </c>
      <c r="P148" s="366"/>
      <c r="Q148" s="199"/>
      <c r="R148" s="9"/>
      <c r="U148" s="304" t="str">
        <f>IF(P46=1,R49,IF(P46=2,R41," "))</f>
        <v>SUŁKOWSKI Bartosz</v>
      </c>
      <c r="V148" s="304"/>
      <c r="W148" s="199"/>
      <c r="X148" s="9"/>
      <c r="AB148" s="374">
        <f>IF(V28=1,X29,IF(V28=2,X25," "))</f>
        <v>0</v>
      </c>
      <c r="AC148" s="374"/>
      <c r="AD148" s="199"/>
      <c r="AE148" s="9"/>
      <c r="AH148" s="28"/>
      <c r="AI148" s="172"/>
      <c r="AJ148" s="194"/>
      <c r="AK148" s="28"/>
      <c r="AL148" s="192"/>
      <c r="AM148" s="44"/>
      <c r="AN148" s="72"/>
      <c r="AO148" s="72"/>
    </row>
    <row r="149" spans="3:41" ht="18.75">
      <c r="C149" s="10"/>
      <c r="E149" s="356" t="str">
        <f>IF(E150=1,C148,IF(E150=2,C150," "))</f>
        <v>GALUS Mateusz</v>
      </c>
      <c r="F149" s="357"/>
      <c r="I149" s="10"/>
      <c r="K149" s="362" t="str">
        <f>IF(K150=1,I148,IF(K150=2,I150," "))</f>
        <v>MOREK Radosław</v>
      </c>
      <c r="L149" s="363"/>
      <c r="O149" s="10"/>
      <c r="Q149" s="367" t="str">
        <f>IF(Q150=1,O148,IF(Q150=2,O150," "))</f>
        <v>OLESIAK Grzegorz</v>
      </c>
      <c r="R149" s="368"/>
      <c r="U149" s="10"/>
      <c r="W149" s="302" t="str">
        <f>IF(W150=1,U148,IF(W150=2,U150," "))</f>
        <v>SUŁKOWSKI Bartosz</v>
      </c>
      <c r="X149" s="303"/>
      <c r="AC149" s="10"/>
      <c r="AD149" s="377" t="str">
        <f>IF(AD150=1,AB148,IF(AD150=2,AB150," "))</f>
        <v> </v>
      </c>
      <c r="AE149" s="378"/>
      <c r="AH149" s="28"/>
      <c r="AI149" s="158"/>
      <c r="AJ149" s="16"/>
      <c r="AK149" s="72"/>
      <c r="AL149" s="72"/>
      <c r="AM149" s="48"/>
      <c r="AN149" s="21"/>
      <c r="AO149" s="193"/>
    </row>
    <row r="150" spans="3:41" ht="18.75">
      <c r="C150" s="358" t="str">
        <f>IF(G108=1,I113,IF(G108=2,I103," "))</f>
        <v>GALUS Mateusz</v>
      </c>
      <c r="D150" s="358"/>
      <c r="E150" s="249">
        <v>2</v>
      </c>
      <c r="F150" s="250"/>
      <c r="I150" s="361" t="str">
        <f>IF(J114=1,L122,IF(J114=2,L106," "))</f>
        <v>PIETRZAK Antoni</v>
      </c>
      <c r="J150" s="361"/>
      <c r="K150" s="249">
        <v>1</v>
      </c>
      <c r="L150" s="250"/>
      <c r="O150" s="366" t="str">
        <f>IF(M59=1,O61,IF(M59=2,O55," "))</f>
        <v>BUDZIK Oskar</v>
      </c>
      <c r="P150" s="366"/>
      <c r="Q150" s="249">
        <v>1</v>
      </c>
      <c r="R150" s="250"/>
      <c r="U150" s="304" t="str">
        <f>IF(P62=1,R65,IF(P62=2,R57," "))</f>
        <v>ROSIEK Tomasz</v>
      </c>
      <c r="V150" s="304"/>
      <c r="W150" s="249">
        <v>1</v>
      </c>
      <c r="X150" s="250"/>
      <c r="AB150" s="374">
        <f>IF(V36=1,X37,IF(V36=2,X33," "))</f>
        <v>0</v>
      </c>
      <c r="AC150" s="374"/>
      <c r="AD150" s="249"/>
      <c r="AE150" s="250"/>
      <c r="AH150" s="28"/>
      <c r="AI150" s="172"/>
      <c r="AJ150" s="51"/>
      <c r="AK150" s="28"/>
      <c r="AL150" s="185"/>
      <c r="AM150" s="51"/>
      <c r="AN150" s="28"/>
      <c r="AO150" s="23"/>
    </row>
    <row r="151" spans="15:31" ht="18.75">
      <c r="O151" s="10"/>
      <c r="Q151" s="199"/>
      <c r="R151" s="9"/>
      <c r="U151" s="10"/>
      <c r="W151" s="199"/>
      <c r="X151" s="9"/>
      <c r="AC151" s="10"/>
      <c r="AD151" s="199"/>
      <c r="AE151" s="9"/>
    </row>
    <row r="152" spans="15:31" ht="18.75">
      <c r="O152" s="366" t="str">
        <f>IF(M75=1,O77,IF(M75=2,O71," "))</f>
        <v>ZAKRZYŃSKI Domink</v>
      </c>
      <c r="P152" s="366"/>
      <c r="Q152" s="199"/>
      <c r="R152" s="9"/>
      <c r="U152" s="304" t="str">
        <f>IF(P78=1,R81,IF(P78=2,R73," "))</f>
        <v>DANAJ Dawid</v>
      </c>
      <c r="V152" s="304"/>
      <c r="W152" s="199"/>
      <c r="X152" s="9"/>
      <c r="AB152" s="374">
        <f>IF(V44=1,X45,IF(V44=2,X41," "))</f>
        <v>0</v>
      </c>
      <c r="AC152" s="374"/>
      <c r="AD152" s="199"/>
      <c r="AE152" s="9"/>
    </row>
    <row r="153" spans="15:31" ht="18.75">
      <c r="O153" s="10"/>
      <c r="Q153" s="367" t="str">
        <f>IF(Q154=1,O152,IF(Q154=2,O154," "))</f>
        <v>ZAKRZYŃSKI Domink</v>
      </c>
      <c r="R153" s="368"/>
      <c r="U153" s="10"/>
      <c r="W153" s="302" t="str">
        <f>IF(W154=1,U152,IF(W154=2,U154," "))</f>
        <v>DANAJ Dawid</v>
      </c>
      <c r="X153" s="303"/>
      <c r="AC153" s="10"/>
      <c r="AD153" s="377" t="str">
        <f>IF(AD154=1,AB152,IF(AD154=2,AB154," "))</f>
        <v> </v>
      </c>
      <c r="AE153" s="378"/>
    </row>
    <row r="154" spans="3:31" ht="18.75">
      <c r="C154" s="304" t="str">
        <f>IF(D34=1,F43,IF(D34=2,F11," "))</f>
        <v>OSTANEK Michał</v>
      </c>
      <c r="D154" s="304"/>
      <c r="E154" s="199"/>
      <c r="F154" s="9"/>
      <c r="O154" s="366" t="str">
        <f>IF(M91=1,O93,IF(M91=2,O87," "))</f>
        <v>JARZĄBEK Szymon</v>
      </c>
      <c r="P154" s="366"/>
      <c r="Q154" s="249">
        <v>1</v>
      </c>
      <c r="R154" s="250"/>
      <c r="U154" s="304" t="str">
        <f>IF(P94=1,R97,IF(P94=2,R89," "))</f>
        <v>KUCZEK Karol</v>
      </c>
      <c r="V154" s="304"/>
      <c r="W154" s="249">
        <v>1</v>
      </c>
      <c r="X154" s="250"/>
      <c r="AB154" s="374">
        <f>IF(V52=1,X53,IF(V52=2,X49," "))</f>
        <v>0</v>
      </c>
      <c r="AC154" s="374"/>
      <c r="AD154" s="249"/>
      <c r="AE154" s="250"/>
    </row>
    <row r="155" spans="3:31" ht="18.75">
      <c r="C155" s="10"/>
      <c r="E155" s="302" t="str">
        <f>IF(E156=1,C154,IF(E156=2,C156," "))</f>
        <v>OSTANEK Michał</v>
      </c>
      <c r="F155" s="303"/>
      <c r="O155" s="28"/>
      <c r="P155" s="28"/>
      <c r="Q155" s="46"/>
      <c r="R155" s="9"/>
      <c r="U155" s="28"/>
      <c r="V155" s="28"/>
      <c r="W155" s="46"/>
      <c r="X155" s="9"/>
      <c r="AB155" s="28"/>
      <c r="AC155" s="28"/>
      <c r="AD155" s="46"/>
      <c r="AE155" s="9"/>
    </row>
    <row r="156" spans="3:31" ht="18.75">
      <c r="C156" s="267" t="str">
        <f>IF(D98=1,F107,IF(D98=2,F75," "))</f>
        <v>TATARCZUCH Rafał</v>
      </c>
      <c r="D156" s="267"/>
      <c r="E156" s="249">
        <v>1</v>
      </c>
      <c r="F156" s="250"/>
      <c r="O156" s="366" t="str">
        <f>IF(M107=1,O109,IF(M107=2,O103," "))</f>
        <v>PNIACZEK Dominik</v>
      </c>
      <c r="P156" s="366"/>
      <c r="Q156" s="199"/>
      <c r="R156" s="9"/>
      <c r="U156" s="304" t="str">
        <f>IF(P110=1,R113,IF(P110=2,R105," "))</f>
        <v>GROMADA Arkadiusz</v>
      </c>
      <c r="V156" s="304"/>
      <c r="W156" s="199"/>
      <c r="X156" s="100"/>
      <c r="AB156" s="374" t="str">
        <f>IF(V60=1,X61,IF(V60=2,X57," "))</f>
        <v>RYPEL Mikołaj</v>
      </c>
      <c r="AC156" s="374"/>
      <c r="AD156" s="199"/>
      <c r="AE156" s="100"/>
    </row>
    <row r="157" spans="15:31" ht="18.75">
      <c r="O157" s="10"/>
      <c r="Q157" s="367" t="str">
        <f>IF(Q158=1,O156,IF(Q158=2,O158," "))</f>
        <v>PNIACZEK Dominik</v>
      </c>
      <c r="R157" s="368"/>
      <c r="U157" s="10"/>
      <c r="W157" s="302" t="str">
        <f>IF(W158=1,U156,IF(W158=2,U158," "))</f>
        <v>GROMADA Arkadiusz</v>
      </c>
      <c r="X157" s="303"/>
      <c r="AC157" s="10"/>
      <c r="AD157" s="377" t="str">
        <f>IF(AD158=1,AB156,IF(AD158=2,AB158," "))</f>
        <v>RYPEL Mikołaj</v>
      </c>
      <c r="AE157" s="378"/>
    </row>
    <row r="158" spans="3:31" ht="18.75">
      <c r="C158" s="305" t="s">
        <v>240</v>
      </c>
      <c r="D158" s="305"/>
      <c r="E158" s="301" t="s">
        <v>239</v>
      </c>
      <c r="F158" s="301"/>
      <c r="O158" s="366" t="str">
        <f>IF(M123=1,O125,IF(M123=2,O119," "))</f>
        <v>SUŁKOWSKI Kacper</v>
      </c>
      <c r="P158" s="366"/>
      <c r="Q158" s="249">
        <v>1</v>
      </c>
      <c r="R158" s="250"/>
      <c r="U158" s="304" t="str">
        <f>IF(P126=1,R129,IF(P126=2,R121," "))</f>
        <v>KAIM Michał</v>
      </c>
      <c r="V158" s="304"/>
      <c r="W158" s="249">
        <v>1</v>
      </c>
      <c r="X158" s="250"/>
      <c r="AB158" s="374">
        <f>IF(V68=1,X69,IF(V68=2,X65," "))</f>
        <v>0</v>
      </c>
      <c r="AC158" s="374"/>
      <c r="AD158" s="249">
        <v>1</v>
      </c>
      <c r="AE158" s="250"/>
    </row>
    <row r="160" spans="28:34" ht="18.75">
      <c r="AB160" s="374">
        <f>IF(V76=1,X77,IF(V76=2,X73," "))</f>
        <v>0</v>
      </c>
      <c r="AC160" s="374"/>
      <c r="AD160" s="199"/>
      <c r="AE160" s="9"/>
      <c r="AH160" s="107"/>
    </row>
    <row r="161" spans="29:31" ht="18.75">
      <c r="AC161" s="10"/>
      <c r="AD161" s="377" t="str">
        <f>IF(AD162=1,AB160,IF(AD162=2,AB162," "))</f>
        <v>CIUREJ Radosław</v>
      </c>
      <c r="AE161" s="378"/>
    </row>
    <row r="162" spans="28:31" ht="18.75">
      <c r="AB162" s="374" t="str">
        <f>IF(V84=1,X85,IF(V84=2,X81," "))</f>
        <v>CIUREJ Radosław</v>
      </c>
      <c r="AC162" s="374"/>
      <c r="AD162" s="249">
        <v>2</v>
      </c>
      <c r="AE162" s="250"/>
    </row>
    <row r="163" spans="29:31" ht="18.75">
      <c r="AC163" s="10"/>
      <c r="AD163" s="46"/>
      <c r="AE163" s="9"/>
    </row>
    <row r="164" spans="28:31" ht="18.75">
      <c r="AB164" s="374">
        <f>IF(V92=1,X93,IF(V92=2,X89," "))</f>
        <v>0</v>
      </c>
      <c r="AC164" s="374"/>
      <c r="AD164" s="199"/>
      <c r="AE164" s="9"/>
    </row>
    <row r="165" spans="29:31" ht="18.75">
      <c r="AC165" s="10"/>
      <c r="AD165" s="377" t="str">
        <f>IF(AD166=1,AB164,IF(AD166=2,AB166," "))</f>
        <v> </v>
      </c>
      <c r="AE165" s="378"/>
    </row>
    <row r="166" spans="28:31" ht="18.75">
      <c r="AB166" s="374">
        <f>IF(V100=1,X101,IF(V100=2,X97," "))</f>
        <v>0</v>
      </c>
      <c r="AC166" s="374"/>
      <c r="AD166" s="249"/>
      <c r="AE166" s="250"/>
    </row>
    <row r="167" spans="29:31" ht="18.75">
      <c r="AC167" s="10"/>
      <c r="AD167" s="199"/>
      <c r="AE167" s="9"/>
    </row>
    <row r="168" spans="28:31" ht="18.75">
      <c r="AB168" s="374">
        <f>IF(V108=1,X109,IF(V108=2,X105," "))</f>
        <v>0</v>
      </c>
      <c r="AC168" s="374"/>
      <c r="AD168" s="199"/>
      <c r="AE168" s="9"/>
    </row>
    <row r="169" spans="29:31" ht="18.75">
      <c r="AC169" s="10"/>
      <c r="AD169" s="377" t="str">
        <f>IF(AD170=1,AB168,IF(AD170=2,AB170," "))</f>
        <v> </v>
      </c>
      <c r="AE169" s="378"/>
    </row>
    <row r="170" spans="28:31" ht="18.75">
      <c r="AB170" s="374">
        <f>IF(V116=1,X117,IF(V116=2,X113," "))</f>
        <v>0</v>
      </c>
      <c r="AC170" s="374"/>
      <c r="AD170" s="249"/>
      <c r="AE170" s="250"/>
    </row>
    <row r="171" spans="28:31" ht="18.75">
      <c r="AB171" s="28"/>
      <c r="AC171" s="28"/>
      <c r="AD171" s="46"/>
      <c r="AE171" s="9"/>
    </row>
    <row r="172" spans="28:31" ht="18.75">
      <c r="AB172" s="374" t="str">
        <f>IF(V124=1,X125,IF(V124=2,X121," "))</f>
        <v>MRÓZEK Mateusz</v>
      </c>
      <c r="AC172" s="374"/>
      <c r="AD172" s="199"/>
      <c r="AE172" s="100"/>
    </row>
    <row r="173" spans="29:31" ht="18.75">
      <c r="AC173" s="10"/>
      <c r="AD173" s="377" t="str">
        <f>IF(AD174=1,AB172,IF(AD174=2,AB174," "))</f>
        <v>MRÓZEK Mateusz</v>
      </c>
      <c r="AE173" s="378"/>
    </row>
    <row r="174" spans="28:31" ht="18.75">
      <c r="AB174" s="374">
        <f>IF(V132=1,X133,IF(V132=2,X129," "))</f>
        <v>0</v>
      </c>
      <c r="AC174" s="374"/>
      <c r="AD174" s="249">
        <v>1</v>
      </c>
      <c r="AE174" s="250"/>
    </row>
  </sheetData>
  <sheetProtection/>
  <mergeCells count="330">
    <mergeCell ref="AB162:AC162"/>
    <mergeCell ref="AB164:AC164"/>
    <mergeCell ref="AD165:AE165"/>
    <mergeCell ref="AB166:AC166"/>
    <mergeCell ref="AD173:AE173"/>
    <mergeCell ref="AB174:AC174"/>
    <mergeCell ref="AB168:AC168"/>
    <mergeCell ref="AD169:AE169"/>
    <mergeCell ref="AB170:AC170"/>
    <mergeCell ref="AB172:AC172"/>
    <mergeCell ref="AB160:AC160"/>
    <mergeCell ref="AD161:AE161"/>
    <mergeCell ref="AD153:AE153"/>
    <mergeCell ref="AB154:AC154"/>
    <mergeCell ref="AB156:AC156"/>
    <mergeCell ref="AD157:AE157"/>
    <mergeCell ref="AB158:AC158"/>
    <mergeCell ref="AB150:AC150"/>
    <mergeCell ref="AB152:AC152"/>
    <mergeCell ref="AB142:AC142"/>
    <mergeCell ref="AB144:AC144"/>
    <mergeCell ref="AD142:AE142"/>
    <mergeCell ref="AB148:AC148"/>
    <mergeCell ref="AD149:AE149"/>
    <mergeCell ref="AD145:AE145"/>
    <mergeCell ref="AB146:AC146"/>
    <mergeCell ref="U156:V156"/>
    <mergeCell ref="W157:X157"/>
    <mergeCell ref="W145:X145"/>
    <mergeCell ref="U146:V146"/>
    <mergeCell ref="U148:V148"/>
    <mergeCell ref="W149:X149"/>
    <mergeCell ref="W153:X153"/>
    <mergeCell ref="U154:V154"/>
    <mergeCell ref="Q157:R157"/>
    <mergeCell ref="O158:P158"/>
    <mergeCell ref="U142:V142"/>
    <mergeCell ref="U144:V144"/>
    <mergeCell ref="U150:V150"/>
    <mergeCell ref="U152:V152"/>
    <mergeCell ref="U158:V158"/>
    <mergeCell ref="O152:P152"/>
    <mergeCell ref="Q153:R153"/>
    <mergeCell ref="O154:P154"/>
    <mergeCell ref="O142:P142"/>
    <mergeCell ref="Q142:R142"/>
    <mergeCell ref="O144:P144"/>
    <mergeCell ref="Q145:R145"/>
    <mergeCell ref="O156:P156"/>
    <mergeCell ref="O146:P146"/>
    <mergeCell ref="O148:P148"/>
    <mergeCell ref="Q149:R149"/>
    <mergeCell ref="O150:P150"/>
    <mergeCell ref="E149:F149"/>
    <mergeCell ref="C150:D150"/>
    <mergeCell ref="K142:L142"/>
    <mergeCell ref="I144:J144"/>
    <mergeCell ref="K145:L145"/>
    <mergeCell ref="I146:J146"/>
    <mergeCell ref="I148:J148"/>
    <mergeCell ref="K149:L149"/>
    <mergeCell ref="I150:J150"/>
    <mergeCell ref="C144:D144"/>
    <mergeCell ref="E145:F145"/>
    <mergeCell ref="C146:D146"/>
    <mergeCell ref="C148:D148"/>
    <mergeCell ref="AM7:AO7"/>
    <mergeCell ref="AH68:AI68"/>
    <mergeCell ref="AK32:AL32"/>
    <mergeCell ref="AG7:AI7"/>
    <mergeCell ref="AN56:AO56"/>
    <mergeCell ref="AH52:AI52"/>
    <mergeCell ref="AH44:AI44"/>
    <mergeCell ref="AH28:AI28"/>
    <mergeCell ref="AH20:AI20"/>
    <mergeCell ref="AE70:AF70"/>
    <mergeCell ref="AB63:AC63"/>
    <mergeCell ref="AB69:AC69"/>
    <mergeCell ref="AB45:AC45"/>
    <mergeCell ref="AE54:AF54"/>
    <mergeCell ref="AE46:AF46"/>
    <mergeCell ref="AB47:AC47"/>
    <mergeCell ref="AB49:AC49"/>
    <mergeCell ref="AH60:AI60"/>
    <mergeCell ref="AB61:AC61"/>
    <mergeCell ref="AE62:AF62"/>
    <mergeCell ref="AB55:AC55"/>
    <mergeCell ref="AQ40:AR40"/>
    <mergeCell ref="AB41:AC41"/>
    <mergeCell ref="AB43:AC43"/>
    <mergeCell ref="AE40:AF40"/>
    <mergeCell ref="AB27:AC27"/>
    <mergeCell ref="AB23:AC23"/>
    <mergeCell ref="AB21:AC21"/>
    <mergeCell ref="AE22:AF22"/>
    <mergeCell ref="AN24:AO24"/>
    <mergeCell ref="AB25:AC25"/>
    <mergeCell ref="AB39:AC39"/>
    <mergeCell ref="AH36:AI36"/>
    <mergeCell ref="AB29:AC29"/>
    <mergeCell ref="AE30:AF30"/>
    <mergeCell ref="AB31:AC31"/>
    <mergeCell ref="AB33:AC33"/>
    <mergeCell ref="AB37:AC37"/>
    <mergeCell ref="AE38:AF38"/>
    <mergeCell ref="AB35:AC35"/>
    <mergeCell ref="AB19:AC19"/>
    <mergeCell ref="AB9:AC9"/>
    <mergeCell ref="AB11:AC11"/>
    <mergeCell ref="AH12:AI12"/>
    <mergeCell ref="AB13:AC13"/>
    <mergeCell ref="AE14:AF14"/>
    <mergeCell ref="AB15:AC15"/>
    <mergeCell ref="AB17:AC17"/>
    <mergeCell ref="AA6:AC6"/>
    <mergeCell ref="AD6:AF6"/>
    <mergeCell ref="AG6:AI6"/>
    <mergeCell ref="AJ6:AL6"/>
    <mergeCell ref="AA7:AC7"/>
    <mergeCell ref="AD7:AF7"/>
    <mergeCell ref="AJ7:AL7"/>
    <mergeCell ref="AM6:AO6"/>
    <mergeCell ref="O1:AO1"/>
    <mergeCell ref="I49:J49"/>
    <mergeCell ref="L42:M42"/>
    <mergeCell ref="U43:V43"/>
    <mergeCell ref="O45:P45"/>
    <mergeCell ref="U47:V47"/>
    <mergeCell ref="R49:S49"/>
    <mergeCell ref="L10:M10"/>
    <mergeCell ref="AK16:AL16"/>
    <mergeCell ref="L58:M58"/>
    <mergeCell ref="AB75:AC75"/>
    <mergeCell ref="O61:P61"/>
    <mergeCell ref="X69:Y69"/>
    <mergeCell ref="O71:P71"/>
    <mergeCell ref="U71:V71"/>
    <mergeCell ref="R73:S73"/>
    <mergeCell ref="X73:Y73"/>
    <mergeCell ref="AB71:AC71"/>
    <mergeCell ref="AB67:AC67"/>
    <mergeCell ref="O55:P55"/>
    <mergeCell ref="U55:V55"/>
    <mergeCell ref="AB59:AC59"/>
    <mergeCell ref="R57:S57"/>
    <mergeCell ref="X57:Y57"/>
    <mergeCell ref="AB57:AC57"/>
    <mergeCell ref="R41:S41"/>
    <mergeCell ref="AB73:AC73"/>
    <mergeCell ref="AH76:AI76"/>
    <mergeCell ref="AB77:AC77"/>
    <mergeCell ref="AE78:AF78"/>
    <mergeCell ref="AB79:AC79"/>
    <mergeCell ref="U51:V51"/>
    <mergeCell ref="AB65:AC65"/>
    <mergeCell ref="AB53:AC53"/>
    <mergeCell ref="AB51:AC51"/>
    <mergeCell ref="U31:V31"/>
    <mergeCell ref="C33:D33"/>
    <mergeCell ref="R33:S33"/>
    <mergeCell ref="U35:V35"/>
    <mergeCell ref="O39:P39"/>
    <mergeCell ref="U39:V39"/>
    <mergeCell ref="AH84:AI84"/>
    <mergeCell ref="AB85:AC85"/>
    <mergeCell ref="AE86:AF86"/>
    <mergeCell ref="AB87:AC87"/>
    <mergeCell ref="AB81:AC81"/>
    <mergeCell ref="AB83:AC83"/>
    <mergeCell ref="AB99:AC99"/>
    <mergeCell ref="AH92:AI92"/>
    <mergeCell ref="AB93:AC93"/>
    <mergeCell ref="AE94:AF94"/>
    <mergeCell ref="AB95:AC95"/>
    <mergeCell ref="AB89:AC89"/>
    <mergeCell ref="AB91:AC91"/>
    <mergeCell ref="AE102:AF102"/>
    <mergeCell ref="AB103:AC103"/>
    <mergeCell ref="AE104:AF104"/>
    <mergeCell ref="AQ104:AR104"/>
    <mergeCell ref="AH100:AI100"/>
    <mergeCell ref="AB101:AC101"/>
    <mergeCell ref="O29:P29"/>
    <mergeCell ref="AB105:AC105"/>
    <mergeCell ref="AH108:AI108"/>
    <mergeCell ref="X29:Y29"/>
    <mergeCell ref="X33:Y33"/>
    <mergeCell ref="X37:Y37"/>
    <mergeCell ref="X41:Y41"/>
    <mergeCell ref="X45:Y45"/>
    <mergeCell ref="X49:Y49"/>
    <mergeCell ref="X53:Y53"/>
    <mergeCell ref="X65:Y65"/>
    <mergeCell ref="U67:V67"/>
    <mergeCell ref="AE110:AF110"/>
    <mergeCell ref="AB111:AC111"/>
    <mergeCell ref="I17:J17"/>
    <mergeCell ref="U23:V23"/>
    <mergeCell ref="R25:S25"/>
    <mergeCell ref="X25:Y25"/>
    <mergeCell ref="L26:M26"/>
    <mergeCell ref="U27:V27"/>
    <mergeCell ref="AN120:AO120"/>
    <mergeCell ref="AB113:AC113"/>
    <mergeCell ref="AB115:AC115"/>
    <mergeCell ref="AH116:AI116"/>
    <mergeCell ref="U15:V15"/>
    <mergeCell ref="R17:S17"/>
    <mergeCell ref="X17:Y17"/>
    <mergeCell ref="AE118:AF118"/>
    <mergeCell ref="U59:V59"/>
    <mergeCell ref="X61:Y61"/>
    <mergeCell ref="X13:Y13"/>
    <mergeCell ref="AB117:AC117"/>
    <mergeCell ref="U19:V19"/>
    <mergeCell ref="X21:Y21"/>
    <mergeCell ref="O23:P23"/>
    <mergeCell ref="AB109:AC109"/>
    <mergeCell ref="AB107:AC107"/>
    <mergeCell ref="AB97:AC97"/>
    <mergeCell ref="U63:V63"/>
    <mergeCell ref="R65:S65"/>
    <mergeCell ref="AB135:AC135"/>
    <mergeCell ref="AB129:AC129"/>
    <mergeCell ref="AB131:AC131"/>
    <mergeCell ref="AH132:AI132"/>
    <mergeCell ref="O7:P7"/>
    <mergeCell ref="U7:V7"/>
    <mergeCell ref="R9:S9"/>
    <mergeCell ref="X9:Y9"/>
    <mergeCell ref="U11:V11"/>
    <mergeCell ref="O13:P13"/>
    <mergeCell ref="AN88:AO88"/>
    <mergeCell ref="AB133:AC133"/>
    <mergeCell ref="AE134:AF134"/>
    <mergeCell ref="AB125:AC125"/>
    <mergeCell ref="AE126:AF126"/>
    <mergeCell ref="AB127:AC127"/>
    <mergeCell ref="AB121:AC121"/>
    <mergeCell ref="AB123:AC123"/>
    <mergeCell ref="AH124:AI124"/>
    <mergeCell ref="AB119:AC119"/>
    <mergeCell ref="AJ135:AL135"/>
    <mergeCell ref="AM135:AO135"/>
    <mergeCell ref="AJ136:AL136"/>
    <mergeCell ref="AM136:AO136"/>
    <mergeCell ref="AK48:AL48"/>
    <mergeCell ref="AK80:AL80"/>
    <mergeCell ref="AK112:AL112"/>
    <mergeCell ref="AK96:AL96"/>
    <mergeCell ref="AK64:AL64"/>
    <mergeCell ref="AK128:AL128"/>
    <mergeCell ref="L74:M74"/>
    <mergeCell ref="U75:V75"/>
    <mergeCell ref="O77:P77"/>
    <mergeCell ref="X77:Y77"/>
    <mergeCell ref="AP68:AR68"/>
    <mergeCell ref="AP69:AR69"/>
    <mergeCell ref="AQ72:AR72"/>
    <mergeCell ref="AP76:AQ76"/>
    <mergeCell ref="U91:V91"/>
    <mergeCell ref="U83:V83"/>
    <mergeCell ref="X85:Y85"/>
    <mergeCell ref="O87:P87"/>
    <mergeCell ref="U87:V87"/>
    <mergeCell ref="U79:V79"/>
    <mergeCell ref="R81:S81"/>
    <mergeCell ref="X81:Y81"/>
    <mergeCell ref="R97:S97"/>
    <mergeCell ref="X97:Y97"/>
    <mergeCell ref="U99:V99"/>
    <mergeCell ref="O93:P93"/>
    <mergeCell ref="X93:Y93"/>
    <mergeCell ref="C59:D59"/>
    <mergeCell ref="U95:V95"/>
    <mergeCell ref="R89:S89"/>
    <mergeCell ref="X89:Y89"/>
    <mergeCell ref="L90:M90"/>
    <mergeCell ref="L106:M106"/>
    <mergeCell ref="U107:V107"/>
    <mergeCell ref="O109:P109"/>
    <mergeCell ref="X109:Y109"/>
    <mergeCell ref="X101:Y101"/>
    <mergeCell ref="O103:P103"/>
    <mergeCell ref="U103:V103"/>
    <mergeCell ref="R105:S105"/>
    <mergeCell ref="X105:Y105"/>
    <mergeCell ref="O119:P119"/>
    <mergeCell ref="U119:V119"/>
    <mergeCell ref="U111:V111"/>
    <mergeCell ref="I113:J113"/>
    <mergeCell ref="R113:S113"/>
    <mergeCell ref="X113:Y113"/>
    <mergeCell ref="R129:S129"/>
    <mergeCell ref="X129:Y129"/>
    <mergeCell ref="R121:S121"/>
    <mergeCell ref="X121:Y121"/>
    <mergeCell ref="U123:V123"/>
    <mergeCell ref="U115:V115"/>
    <mergeCell ref="X117:Y117"/>
    <mergeCell ref="C62:D62"/>
    <mergeCell ref="I7:J7"/>
    <mergeCell ref="I39:J39"/>
    <mergeCell ref="I71:J71"/>
    <mergeCell ref="I103:J103"/>
    <mergeCell ref="F11:G11"/>
    <mergeCell ref="F43:G43"/>
    <mergeCell ref="F75:G75"/>
    <mergeCell ref="C97:D97"/>
    <mergeCell ref="I81:J81"/>
    <mergeCell ref="U131:V131"/>
    <mergeCell ref="X133:Y133"/>
    <mergeCell ref="O125:P125"/>
    <mergeCell ref="X125:Y125"/>
    <mergeCell ref="F107:G107"/>
    <mergeCell ref="B137:D137"/>
    <mergeCell ref="H137:J137"/>
    <mergeCell ref="K137:M137"/>
    <mergeCell ref="L122:M122"/>
    <mergeCell ref="U127:V127"/>
    <mergeCell ref="E158:F158"/>
    <mergeCell ref="E155:F155"/>
    <mergeCell ref="C154:D154"/>
    <mergeCell ref="C158:D158"/>
    <mergeCell ref="Y4:AD4"/>
    <mergeCell ref="Y3:AD3"/>
    <mergeCell ref="N137:P137"/>
    <mergeCell ref="Q137:S137"/>
    <mergeCell ref="T137:V137"/>
    <mergeCell ref="W137:Y137"/>
  </mergeCells>
  <printOptions horizontalCentered="1" verticalCentered="1"/>
  <pageMargins left="0.3937007874015748" right="0.3937007874015748" top="0.2362204724409449" bottom="0.1968503937007874" header="0" footer="0"/>
  <pageSetup fitToHeight="2"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tabSelected="1" zoomScale="75" zoomScaleNormal="75" zoomScalePageLayoutView="0" workbookViewId="0" topLeftCell="A34">
      <selection activeCell="P14" sqref="P14"/>
    </sheetView>
  </sheetViews>
  <sheetFormatPr defaultColWidth="9.140625" defaultRowHeight="12.75"/>
  <cols>
    <col min="1" max="1" width="5.7109375" style="1" customWidth="1"/>
    <col min="2" max="2" width="11.8515625" style="61" customWidth="1"/>
    <col min="3" max="3" width="47.8515625" style="3" customWidth="1"/>
    <col min="4" max="4" width="15.57421875" style="3" customWidth="1"/>
    <col min="5" max="5" width="11.57421875" style="1" customWidth="1"/>
    <col min="6" max="16384" width="9.140625" style="1" customWidth="1"/>
  </cols>
  <sheetData>
    <row r="1" spans="1:5" ht="43.5" customHeight="1">
      <c r="A1" s="379" t="str">
        <f>+lista!A1</f>
        <v>III WTK MŁODZICZEK i MŁODZIKÓW WOJEWÓDZTWA MAŁOPOLSKIEGO - ZAKLICZYN  - 6.03.2011r.</v>
      </c>
      <c r="B1" s="380"/>
      <c r="C1" s="380"/>
      <c r="D1" s="380"/>
      <c r="E1" s="380"/>
    </row>
    <row r="2" ht="15" customHeight="1"/>
    <row r="3" spans="3:5" ht="28.5" customHeight="1">
      <c r="C3" s="265" t="s">
        <v>39</v>
      </c>
      <c r="D3" s="263"/>
      <c r="E3" s="264"/>
    </row>
    <row r="4" s="81" customFormat="1" ht="24.75" customHeight="1">
      <c r="C4" s="266" t="str">
        <f>+lista!C4</f>
        <v>MŁODZICY</v>
      </c>
    </row>
    <row r="5" spans="2:4" s="81" customFormat="1" ht="24.75" customHeight="1">
      <c r="B5" s="82"/>
      <c r="C5" s="83"/>
      <c r="D5" s="83"/>
    </row>
    <row r="6" spans="1:5" s="81" customFormat="1" ht="24.75" customHeight="1">
      <c r="A6" s="84"/>
      <c r="B6" s="85" t="s">
        <v>37</v>
      </c>
      <c r="C6" s="86" t="s">
        <v>5</v>
      </c>
      <c r="D6" s="87" t="s">
        <v>38</v>
      </c>
      <c r="E6" s="84"/>
    </row>
    <row r="7" spans="2:4" s="55" customFormat="1" ht="24.75" customHeight="1">
      <c r="B7" s="62"/>
      <c r="C7" s="56"/>
      <c r="D7" s="56"/>
    </row>
    <row r="8" spans="2:4" s="55" customFormat="1" ht="24.75" customHeight="1">
      <c r="B8" s="78" t="s">
        <v>129</v>
      </c>
      <c r="C8" s="77" t="str">
        <f>turniej!AQ72</f>
        <v>WĘGRZYN Łukasz</v>
      </c>
      <c r="D8" s="258"/>
    </row>
    <row r="9" spans="2:4" s="55" customFormat="1" ht="24.75" customHeight="1">
      <c r="B9" s="222" t="s">
        <v>128</v>
      </c>
      <c r="C9" s="223" t="str">
        <f>turniej!AP76</f>
        <v>CHOLEWA Dariusz</v>
      </c>
      <c r="D9" s="259"/>
    </row>
    <row r="10" spans="2:4" s="55" customFormat="1" ht="24.75" customHeight="1">
      <c r="B10" s="78" t="s">
        <v>127</v>
      </c>
      <c r="C10" s="77" t="str">
        <f>turniej!AN139</f>
        <v>PAWLUSIAK Jakub</v>
      </c>
      <c r="D10" s="257"/>
    </row>
    <row r="11" spans="2:4" s="55" customFormat="1" ht="24.75" customHeight="1">
      <c r="B11" s="222" t="s">
        <v>126</v>
      </c>
      <c r="C11" s="223" t="str">
        <f>IF(turniej!AM140=1,turniej!AK140,IF(turniej!AM140=2,turniej!AK138," "))</f>
        <v>PAJĄK Dawid</v>
      </c>
      <c r="D11" s="259"/>
    </row>
    <row r="12" spans="2:4" s="55" customFormat="1" ht="24.75" customHeight="1">
      <c r="B12" s="78" t="s">
        <v>120</v>
      </c>
      <c r="C12" s="77" t="str">
        <f>turniej!C62</f>
        <v>LIS Daniel</v>
      </c>
      <c r="D12" s="257"/>
    </row>
    <row r="13" spans="2:4" s="55" customFormat="1" ht="24.75" customHeight="1">
      <c r="B13" s="222" t="s">
        <v>121</v>
      </c>
      <c r="C13" s="223" t="str">
        <f>IF(turniej!B63=1,turniej!C97,IF(turniej!B63=2,turniej!C33," "))</f>
        <v>KAIM Szymon</v>
      </c>
      <c r="D13" s="259"/>
    </row>
    <row r="14" spans="2:4" s="55" customFormat="1" ht="24.75" customHeight="1">
      <c r="B14" s="222" t="s">
        <v>243</v>
      </c>
      <c r="C14" s="223" t="str">
        <f>IF(turniej!D34=1,turniej!F43,IF(turniej!D34=2,turniej!F11," "))</f>
        <v>OSTANEK Michał</v>
      </c>
      <c r="D14" s="259"/>
    </row>
    <row r="15" spans="2:4" s="55" customFormat="1" ht="24.75" customHeight="1">
      <c r="B15" s="78" t="s">
        <v>244</v>
      </c>
      <c r="C15" s="226" t="str">
        <f>IF(turniej!D98=1,turniej!F107,IF(turniej!D98=2,turniej!F75," "))</f>
        <v>TATARCZUCH Rafał</v>
      </c>
      <c r="D15" s="257"/>
    </row>
    <row r="16" spans="2:4" s="55" customFormat="1" ht="24.75" customHeight="1">
      <c r="B16" s="224" t="s">
        <v>122</v>
      </c>
      <c r="C16" s="77" t="str">
        <f>turniej!E145</f>
        <v>PIÓRO Eryk</v>
      </c>
      <c r="D16" s="260"/>
    </row>
    <row r="17" spans="2:4" s="55" customFormat="1" ht="24.75" customHeight="1">
      <c r="B17" s="78"/>
      <c r="C17" s="77" t="str">
        <f>turniej!E149</f>
        <v>GALUS Mateusz</v>
      </c>
      <c r="D17" s="261"/>
    </row>
    <row r="18" spans="2:5" s="55" customFormat="1" ht="24.75" customHeight="1">
      <c r="B18" s="78"/>
      <c r="C18" s="77" t="str">
        <f>IF(turniej!E146=1,turniej!C146,IF(turniej!E146=2,turniej!C144," "))</f>
        <v>BIL Maksymilian</v>
      </c>
      <c r="D18" s="261"/>
      <c r="E18" s="256"/>
    </row>
    <row r="19" spans="2:4" s="55" customFormat="1" ht="24.75" customHeight="1">
      <c r="B19" s="225"/>
      <c r="C19" s="226" t="str">
        <f>IF(turniej!E150=1,turniej!C150,IF(turniej!E150=2,turniej!C148," "))</f>
        <v>PODSIADŁO Dominik</v>
      </c>
      <c r="D19" s="258"/>
    </row>
    <row r="20" spans="2:4" s="55" customFormat="1" ht="24.75" customHeight="1">
      <c r="B20" s="78" t="s">
        <v>123</v>
      </c>
      <c r="C20" s="77" t="str">
        <f>turniej!K145</f>
        <v>PETKA Krzysztof</v>
      </c>
      <c r="D20" s="257"/>
    </row>
    <row r="21" spans="2:4" s="55" customFormat="1" ht="24.75" customHeight="1">
      <c r="B21" s="78"/>
      <c r="C21" s="77" t="str">
        <f>turniej!K149</f>
        <v>MOREK Radosław</v>
      </c>
      <c r="D21" s="257"/>
    </row>
    <row r="22" spans="2:4" s="55" customFormat="1" ht="24.75" customHeight="1">
      <c r="B22" s="78"/>
      <c r="C22" s="77" t="str">
        <f>IF(turniej!K146=1,turniej!I146,IF(turniej!K146=2,turniej!I144," "))</f>
        <v>MICHALCZYK Jakub</v>
      </c>
      <c r="D22" s="257"/>
    </row>
    <row r="23" spans="2:4" s="55" customFormat="1" ht="24.75" customHeight="1">
      <c r="B23" s="78"/>
      <c r="C23" s="226" t="str">
        <f>IF(turniej!K150=1,turniej!I150,IF(turniej!K150=2,turniej!I148," "))</f>
        <v>PIETRZAK Antoni</v>
      </c>
      <c r="D23" s="257"/>
    </row>
    <row r="24" spans="2:4" s="55" customFormat="1" ht="24.75" customHeight="1">
      <c r="B24" s="224" t="s">
        <v>125</v>
      </c>
      <c r="C24" s="77" t="str">
        <f>turniej!Q145</f>
        <v>ROZUM Dawid</v>
      </c>
      <c r="D24" s="260"/>
    </row>
    <row r="25" spans="2:4" s="55" customFormat="1" ht="24.75" customHeight="1">
      <c r="B25" s="78"/>
      <c r="C25" s="77" t="str">
        <f>turniej!Q149</f>
        <v>OLESIAK Grzegorz</v>
      </c>
      <c r="D25" s="261"/>
    </row>
    <row r="26" spans="2:4" s="55" customFormat="1" ht="24.75" customHeight="1">
      <c r="B26" s="78"/>
      <c r="C26" s="77" t="str">
        <f>turniej!Q153</f>
        <v>ZAKRZYŃSKI Domink</v>
      </c>
      <c r="D26" s="261"/>
    </row>
    <row r="27" spans="2:4" s="55" customFormat="1" ht="24.75" customHeight="1">
      <c r="B27" s="78"/>
      <c r="C27" s="77" t="str">
        <f>turniej!Q157</f>
        <v>PNIACZEK Dominik</v>
      </c>
      <c r="D27" s="261"/>
    </row>
    <row r="28" spans="2:4" s="55" customFormat="1" ht="24.75" customHeight="1">
      <c r="B28" s="78"/>
      <c r="C28" s="77" t="str">
        <f>IF(turniej!Q146=1,turniej!O146,IF(turniej!Q146=2,turniej!O144," "))</f>
        <v>LECH Sylwester</v>
      </c>
      <c r="D28" s="261"/>
    </row>
    <row r="29" spans="2:4" s="55" customFormat="1" ht="24.75" customHeight="1">
      <c r="B29" s="78"/>
      <c r="C29" s="77" t="str">
        <f>IF(turniej!Q150=1,turniej!O150,IF(turniej!Q150=2,turniej!O148," "))</f>
        <v>BUDZIK Oskar</v>
      </c>
      <c r="D29" s="261"/>
    </row>
    <row r="30" spans="2:4" s="55" customFormat="1" ht="24.75" customHeight="1">
      <c r="B30" s="78"/>
      <c r="C30" s="77" t="str">
        <f>IF(turniej!Q154=1,turniej!O154,IF(turniej!Q154=2,turniej!O152," "))</f>
        <v>JARZĄBEK Szymon</v>
      </c>
      <c r="D30" s="261"/>
    </row>
    <row r="31" spans="2:4" s="55" customFormat="1" ht="24.75" customHeight="1">
      <c r="B31" s="225"/>
      <c r="C31" s="226" t="str">
        <f>IF(turniej!Q158=1,turniej!O158,IF(turniej!Q158=2,turniej!O156," "))</f>
        <v>SUŁKOWSKI Kacper</v>
      </c>
      <c r="D31" s="258"/>
    </row>
    <row r="32" spans="2:4" s="55" customFormat="1" ht="24.75" customHeight="1">
      <c r="B32" s="78" t="s">
        <v>124</v>
      </c>
      <c r="C32" s="77" t="str">
        <f>turniej!W145</f>
        <v>OKOŃSKI Piotr</v>
      </c>
      <c r="D32" s="257"/>
    </row>
    <row r="33" spans="2:4" s="55" customFormat="1" ht="24.75" customHeight="1">
      <c r="B33" s="78"/>
      <c r="C33" s="77" t="str">
        <f>turniej!W149</f>
        <v>SUŁKOWSKI Bartosz</v>
      </c>
      <c r="D33" s="257"/>
    </row>
    <row r="34" spans="2:4" s="55" customFormat="1" ht="24.75" customHeight="1">
      <c r="B34" s="78"/>
      <c r="C34" s="77" t="str">
        <f>turniej!W153</f>
        <v>DANAJ Dawid</v>
      </c>
      <c r="D34" s="257"/>
    </row>
    <row r="35" spans="2:4" s="55" customFormat="1" ht="24.75" customHeight="1">
      <c r="B35" s="78"/>
      <c r="C35" s="77" t="str">
        <f>turniej!W157</f>
        <v>GROMADA Arkadiusz</v>
      </c>
      <c r="D35" s="257"/>
    </row>
    <row r="36" spans="2:4" s="55" customFormat="1" ht="24.75" customHeight="1">
      <c r="B36" s="78"/>
      <c r="C36" s="77" t="str">
        <f>IF(turniej!W146=1,turniej!U146,IF(turniej!W146=2,turniej!U144," "))</f>
        <v>STANKIEWICZ Tomasz</v>
      </c>
      <c r="D36" s="257"/>
    </row>
    <row r="37" spans="2:4" s="55" customFormat="1" ht="24.75" customHeight="1">
      <c r="B37" s="78"/>
      <c r="C37" s="77" t="str">
        <f>IF(turniej!W150=1,turniej!U150,IF(turniej!W150=2,turniej!U148," "))</f>
        <v>ROSIEK Tomasz</v>
      </c>
      <c r="D37" s="257"/>
    </row>
    <row r="38" spans="2:4" s="55" customFormat="1" ht="24.75" customHeight="1">
      <c r="B38" s="78"/>
      <c r="C38" s="77" t="str">
        <f>IF(turniej!W154=1,turniej!U154,IF(turniej!W154=2,turniej!U152," "))</f>
        <v>KUCZEK Karol</v>
      </c>
      <c r="D38" s="257"/>
    </row>
    <row r="39" spans="2:4" s="55" customFormat="1" ht="24.75" customHeight="1">
      <c r="B39" s="78"/>
      <c r="C39" s="226" t="str">
        <f>IF(turniej!W158=1,turniej!U158,IF(turniej!W158=2,turniej!U156," "))</f>
        <v>KAIM Michał</v>
      </c>
      <c r="D39" s="257"/>
    </row>
    <row r="40" spans="2:4" s="55" customFormat="1" ht="24.75" customHeight="1">
      <c r="B40" s="224" t="s">
        <v>130</v>
      </c>
      <c r="C40" s="77" t="str">
        <f>IF(turniej!S10=1,turniej!U11,IF(turniej!S10=2,turniej!U7," "))</f>
        <v>FURTAK Adam</v>
      </c>
      <c r="D40" s="260"/>
    </row>
    <row r="41" spans="2:4" s="55" customFormat="1" ht="24.75" customHeight="1">
      <c r="B41" s="78"/>
      <c r="C41" s="77" t="str">
        <f>IF(turniej!S18=1,turniej!U19,IF(turniej!S18=2,turniej!U15," "))</f>
        <v>STEFANIAK Paweł</v>
      </c>
      <c r="D41" s="261"/>
    </row>
    <row r="42" spans="2:4" s="55" customFormat="1" ht="24.75" customHeight="1">
      <c r="B42" s="78"/>
      <c r="C42" s="77" t="str">
        <f>IF(turniej!S26=1,turniej!U27,IF(turniej!S26=2,turniej!U23," "))</f>
        <v>GĄDEK Mateusz</v>
      </c>
      <c r="D42" s="261"/>
    </row>
    <row r="43" spans="2:4" s="55" customFormat="1" ht="24.75" customHeight="1">
      <c r="B43" s="78"/>
      <c r="C43" s="77" t="str">
        <f>IF(turniej!S34=1,turniej!U35,IF(turniej!S34=2,turniej!U31," "))</f>
        <v>WOLANIN Grzegorz</v>
      </c>
      <c r="D43" s="261"/>
    </row>
    <row r="44" spans="2:4" s="55" customFormat="1" ht="24.75" customHeight="1">
      <c r="B44" s="78"/>
      <c r="C44" s="77" t="str">
        <f>IF(turniej!S42=1,turniej!U43,IF(turniej!S42=2,turniej!U39," "))</f>
        <v>BURY Mateusz</v>
      </c>
      <c r="D44" s="261"/>
    </row>
    <row r="45" spans="2:4" s="55" customFormat="1" ht="24.75" customHeight="1">
      <c r="B45" s="78"/>
      <c r="C45" s="77" t="str">
        <f>IF(turniej!S50=1,turniej!U51,IF(turniej!S50=2,turniej!U47," "))</f>
        <v>KUCHARSKI Maciej</v>
      </c>
      <c r="D45" s="261"/>
    </row>
    <row r="46" spans="2:4" s="55" customFormat="1" ht="24.75" customHeight="1">
      <c r="B46" s="78"/>
      <c r="C46" s="77" t="str">
        <f>IF(turniej!S58=1,turniej!U59,IF(turniej!S58=2,turniej!U55," "))</f>
        <v>KOŁOS Arkadiusz</v>
      </c>
      <c r="D46" s="261"/>
    </row>
    <row r="47" spans="2:4" s="55" customFormat="1" ht="24.75" customHeight="1">
      <c r="B47" s="78"/>
      <c r="C47" s="77" t="str">
        <f>IF(turniej!S66=1,turniej!U67,IF(turniej!S66=2,turniej!U63," "))</f>
        <v>KUTAJ Maksymilian</v>
      </c>
      <c r="D47" s="261"/>
    </row>
    <row r="48" spans="2:4" s="55" customFormat="1" ht="24.75" customHeight="1">
      <c r="B48" s="78"/>
      <c r="C48" s="77" t="str">
        <f>IF(turniej!S74=1,turniej!U75,IF(turniej!S74=2,turniej!U71," "))</f>
        <v>KOSMAL Dawid</v>
      </c>
      <c r="D48" s="261"/>
    </row>
    <row r="49" spans="2:4" s="55" customFormat="1" ht="24.75" customHeight="1">
      <c r="B49" s="78"/>
      <c r="C49" s="77" t="str">
        <f>IF(turniej!S82=1,turniej!U83,IF(turniej!S82=2,turniej!U79," "))</f>
        <v>RYPEL Sebastian</v>
      </c>
      <c r="D49" s="261"/>
    </row>
    <row r="50" spans="2:4" s="55" customFormat="1" ht="24.75" customHeight="1">
      <c r="B50" s="78"/>
      <c r="C50" s="77" t="str">
        <f>IF(turniej!S90=1,turniej!U91,IF(turniej!S90=2,turniej!U87," "))</f>
        <v>SKOP Maciej</v>
      </c>
      <c r="D50" s="261"/>
    </row>
    <row r="51" spans="2:4" s="55" customFormat="1" ht="24.75" customHeight="1">
      <c r="B51" s="78"/>
      <c r="C51" s="77" t="str">
        <f>IF(turniej!S98=1,turniej!U99,IF(turniej!S98=2,turniej!U95," "))</f>
        <v>DZIADEK Dominik</v>
      </c>
      <c r="D51" s="261"/>
    </row>
    <row r="52" spans="2:4" s="55" customFormat="1" ht="24.75" customHeight="1">
      <c r="B52" s="78"/>
      <c r="C52" s="77" t="str">
        <f>IF(turniej!S106=1,turniej!U107,IF(turniej!S106=2,turniej!U103," "))</f>
        <v>TALAGA Samuel</v>
      </c>
      <c r="D52" s="261"/>
    </row>
    <row r="53" spans="2:4" s="55" customFormat="1" ht="24.75" customHeight="1">
      <c r="B53" s="78"/>
      <c r="C53" s="77" t="str">
        <f>IF(turniej!S114=1,turniej!U115,IF(turniej!S114=2,turniej!U111," "))</f>
        <v>MORAWIEC Mateusz</v>
      </c>
      <c r="D53" s="261"/>
    </row>
    <row r="54" spans="2:4" s="55" customFormat="1" ht="24.75" customHeight="1">
      <c r="B54" s="78"/>
      <c r="C54" s="77" t="str">
        <f>IF(turniej!S122=1,turniej!U123,IF(turniej!S122=2,turniej!U119," "))</f>
        <v>PAWŁOWSKI Kamil</v>
      </c>
      <c r="D54" s="261"/>
    </row>
    <row r="55" spans="2:4" s="55" customFormat="1" ht="24.75" customHeight="1">
      <c r="B55" s="225"/>
      <c r="C55" s="226" t="str">
        <f>IF(turniej!S130=1,turniej!U131,IF(turniej!S130=2,turniej!U127," "))</f>
        <v>CHMIELAK Piotr</v>
      </c>
      <c r="D55" s="258"/>
    </row>
    <row r="56" spans="2:4" s="55" customFormat="1" ht="24.75" customHeight="1">
      <c r="B56" s="224" t="s">
        <v>242</v>
      </c>
      <c r="C56" s="294" t="str">
        <f>turniej!AD173</f>
        <v>MRÓZEK Mateusz</v>
      </c>
      <c r="D56" s="260"/>
    </row>
    <row r="57" spans="2:4" s="55" customFormat="1" ht="24.75" customHeight="1">
      <c r="B57" s="225"/>
      <c r="C57" s="226" t="str">
        <f>turniej!AD145</f>
        <v>Kupiec Andrzej</v>
      </c>
      <c r="D57" s="258"/>
    </row>
    <row r="58" spans="2:4" s="55" customFormat="1" ht="24.75" customHeight="1">
      <c r="B58" s="78" t="s">
        <v>241</v>
      </c>
      <c r="C58" s="77" t="str">
        <f>turniej!AD161</f>
        <v>CIUREJ Radosław</v>
      </c>
      <c r="D58" s="257"/>
    </row>
    <row r="59" spans="2:4" s="55" customFormat="1" ht="24.75" customHeight="1">
      <c r="B59" s="78"/>
      <c r="C59" s="77" t="str">
        <f>turniej!AD157</f>
        <v>RYPEL Mikołaj</v>
      </c>
      <c r="D59" s="257"/>
    </row>
    <row r="60" spans="2:4" s="55" customFormat="1" ht="24.75" customHeight="1">
      <c r="B60" s="78"/>
      <c r="D60" s="257"/>
    </row>
    <row r="61" spans="2:6" s="55" customFormat="1" ht="24.75" customHeight="1">
      <c r="B61" s="78"/>
      <c r="C61" s="77"/>
      <c r="D61" s="289"/>
      <c r="E61" s="290"/>
      <c r="F61" s="290"/>
    </row>
    <row r="62" spans="2:6" s="55" customFormat="1" ht="24.75" customHeight="1">
      <c r="B62" s="78"/>
      <c r="C62" s="77"/>
      <c r="D62" s="289"/>
      <c r="E62" s="290"/>
      <c r="F62" s="290"/>
    </row>
    <row r="63" spans="2:6" s="55" customFormat="1" ht="24.75" customHeight="1">
      <c r="B63" s="78"/>
      <c r="C63" s="290"/>
      <c r="D63" s="289"/>
      <c r="E63" s="290"/>
      <c r="F63" s="290"/>
    </row>
    <row r="64" spans="2:6" s="55" customFormat="1" ht="24.75" customHeight="1">
      <c r="B64" s="78"/>
      <c r="C64" s="77"/>
      <c r="D64" s="289"/>
      <c r="E64" s="290"/>
      <c r="F64" s="290"/>
    </row>
    <row r="65" spans="2:6" s="55" customFormat="1" ht="24.75" customHeight="1">
      <c r="B65" s="78"/>
      <c r="C65" s="77"/>
      <c r="D65" s="289"/>
      <c r="E65" s="290"/>
      <c r="F65" s="290"/>
    </row>
    <row r="66" spans="2:6" s="55" customFormat="1" ht="24.75" customHeight="1">
      <c r="B66" s="78"/>
      <c r="C66" s="77"/>
      <c r="D66" s="289"/>
      <c r="E66" s="290"/>
      <c r="F66" s="290"/>
    </row>
    <row r="67" spans="2:6" s="55" customFormat="1" ht="24.75" customHeight="1">
      <c r="B67" s="78"/>
      <c r="C67" s="77"/>
      <c r="D67" s="289"/>
      <c r="E67" s="290"/>
      <c r="F67" s="290"/>
    </row>
    <row r="68" spans="2:6" s="55" customFormat="1" ht="24.75" customHeight="1">
      <c r="B68" s="78"/>
      <c r="C68" s="77"/>
      <c r="D68" s="289"/>
      <c r="E68" s="290"/>
      <c r="F68" s="290"/>
    </row>
    <row r="69" spans="2:6" s="55" customFormat="1" ht="24.75" customHeight="1">
      <c r="B69" s="78"/>
      <c r="C69" s="77"/>
      <c r="D69" s="289"/>
      <c r="E69" s="290"/>
      <c r="F69" s="290"/>
    </row>
    <row r="70" spans="2:6" s="55" customFormat="1" ht="24.75" customHeight="1">
      <c r="B70" s="78"/>
      <c r="C70" s="77"/>
      <c r="D70" s="289"/>
      <c r="E70" s="290"/>
      <c r="F70" s="290"/>
    </row>
    <row r="71" spans="2:6" s="55" customFormat="1" ht="24.75" customHeight="1">
      <c r="B71" s="78"/>
      <c r="C71" s="77"/>
      <c r="D71" s="289"/>
      <c r="E71" s="290"/>
      <c r="F71" s="290"/>
    </row>
    <row r="72" spans="2:6" s="55" customFormat="1" ht="24.75" customHeight="1">
      <c r="B72" s="291"/>
      <c r="C72" s="292"/>
      <c r="D72" s="292"/>
      <c r="E72" s="290"/>
      <c r="F72" s="290"/>
    </row>
    <row r="73" spans="2:6" s="55" customFormat="1" ht="24.75" customHeight="1">
      <c r="B73" s="291"/>
      <c r="C73" s="292"/>
      <c r="D73" s="292"/>
      <c r="E73" s="293"/>
      <c r="F73" s="290"/>
    </row>
    <row r="74" spans="2:4" s="55" customFormat="1" ht="19.5" customHeight="1">
      <c r="B74" s="62"/>
      <c r="C74" s="56"/>
      <c r="D74" s="56"/>
    </row>
    <row r="75" spans="2:4" s="55" customFormat="1" ht="19.5" customHeight="1">
      <c r="B75" s="62"/>
      <c r="C75" s="56"/>
      <c r="D75" s="56"/>
    </row>
    <row r="76" spans="2:4" s="55" customFormat="1" ht="19.5" customHeight="1">
      <c r="B76" s="62"/>
      <c r="C76" s="56"/>
      <c r="D76" s="56"/>
    </row>
    <row r="77" spans="2:4" s="55" customFormat="1" ht="19.5" customHeight="1">
      <c r="B77" s="62"/>
      <c r="C77" s="56"/>
      <c r="D77" s="56"/>
    </row>
    <row r="78" spans="2:4" s="55" customFormat="1" ht="19.5" customHeight="1">
      <c r="B78" s="62"/>
      <c r="C78" s="56"/>
      <c r="D78" s="56"/>
    </row>
    <row r="79" spans="2:4" s="55" customFormat="1" ht="19.5" customHeight="1">
      <c r="B79" s="62"/>
      <c r="C79" s="56"/>
      <c r="D79" s="56"/>
    </row>
    <row r="80" spans="2:4" s="55" customFormat="1" ht="19.5" customHeight="1">
      <c r="B80" s="62"/>
      <c r="C80" s="56"/>
      <c r="D80" s="56"/>
    </row>
    <row r="81" spans="2:4" s="55" customFormat="1" ht="19.5" customHeight="1">
      <c r="B81" s="62"/>
      <c r="C81" s="56"/>
      <c r="D81" s="56"/>
    </row>
    <row r="82" spans="2:4" s="55" customFormat="1" ht="19.5" customHeight="1">
      <c r="B82" s="62"/>
      <c r="C82" s="56"/>
      <c r="D82" s="56"/>
    </row>
    <row r="83" spans="2:4" s="55" customFormat="1" ht="19.5" customHeight="1">
      <c r="B83" s="62"/>
      <c r="C83" s="56"/>
      <c r="D83" s="56"/>
    </row>
    <row r="84" spans="2:4" s="55" customFormat="1" ht="19.5" customHeight="1">
      <c r="B84" s="62"/>
      <c r="C84" s="56"/>
      <c r="D84" s="56"/>
    </row>
    <row r="85" spans="2:4" s="55" customFormat="1" ht="19.5" customHeight="1">
      <c r="B85" s="62"/>
      <c r="C85" s="56"/>
      <c r="D85" s="56"/>
    </row>
    <row r="86" spans="2:4" s="55" customFormat="1" ht="19.5" customHeight="1">
      <c r="B86" s="62"/>
      <c r="C86" s="56"/>
      <c r="D86" s="56"/>
    </row>
    <row r="87" spans="2:4" s="55" customFormat="1" ht="19.5" customHeight="1">
      <c r="B87" s="62"/>
      <c r="C87" s="56"/>
      <c r="D87" s="56"/>
    </row>
    <row r="88" spans="2:4" s="55" customFormat="1" ht="19.5" customHeight="1">
      <c r="B88" s="62"/>
      <c r="C88" s="56"/>
      <c r="D88" s="56"/>
    </row>
    <row r="89" spans="2:4" s="55" customFormat="1" ht="19.5" customHeight="1">
      <c r="B89" s="62"/>
      <c r="C89" s="56"/>
      <c r="D89" s="56"/>
    </row>
    <row r="90" spans="2:4" s="55" customFormat="1" ht="19.5" customHeight="1">
      <c r="B90" s="62"/>
      <c r="C90" s="56"/>
      <c r="D90" s="56"/>
    </row>
    <row r="91" spans="2:4" s="55" customFormat="1" ht="19.5" customHeight="1">
      <c r="B91" s="62"/>
      <c r="C91" s="56"/>
      <c r="D91" s="56"/>
    </row>
    <row r="92" spans="2:4" s="55" customFormat="1" ht="19.5" customHeight="1">
      <c r="B92" s="62"/>
      <c r="C92" s="56"/>
      <c r="D92" s="56"/>
    </row>
    <row r="93" spans="2:4" s="55" customFormat="1" ht="19.5" customHeight="1">
      <c r="B93" s="62"/>
      <c r="C93" s="56"/>
      <c r="D93" s="56"/>
    </row>
    <row r="94" spans="2:4" s="55" customFormat="1" ht="19.5" customHeight="1">
      <c r="B94" s="62"/>
      <c r="C94" s="56"/>
      <c r="D94" s="56"/>
    </row>
    <row r="95" spans="2:4" s="55" customFormat="1" ht="19.5" customHeight="1">
      <c r="B95" s="62"/>
      <c r="C95" s="56"/>
      <c r="D95" s="56"/>
    </row>
    <row r="96" spans="2:4" s="55" customFormat="1" ht="19.5" customHeight="1">
      <c r="B96" s="62"/>
      <c r="C96" s="56"/>
      <c r="D96" s="56"/>
    </row>
    <row r="97" spans="2:4" s="55" customFormat="1" ht="19.5" customHeight="1">
      <c r="B97" s="62"/>
      <c r="C97" s="56"/>
      <c r="D97" s="56"/>
    </row>
    <row r="98" spans="2:4" s="55" customFormat="1" ht="19.5" customHeight="1">
      <c r="B98" s="62"/>
      <c r="C98" s="56"/>
      <c r="D98" s="56"/>
    </row>
    <row r="99" spans="2:4" s="55" customFormat="1" ht="19.5" customHeight="1">
      <c r="B99" s="62"/>
      <c r="C99" s="56"/>
      <c r="D99" s="56"/>
    </row>
    <row r="100" spans="2:4" s="55" customFormat="1" ht="19.5" customHeight="1">
      <c r="B100" s="62"/>
      <c r="C100" s="56"/>
      <c r="D100" s="56"/>
    </row>
    <row r="101" spans="2:4" s="55" customFormat="1" ht="19.5" customHeight="1">
      <c r="B101" s="62"/>
      <c r="C101" s="56"/>
      <c r="D101" s="56"/>
    </row>
    <row r="102" spans="2:4" s="55" customFormat="1" ht="19.5" customHeight="1">
      <c r="B102" s="62"/>
      <c r="C102" s="56"/>
      <c r="D102" s="56"/>
    </row>
    <row r="103" spans="2:4" s="55" customFormat="1" ht="19.5" customHeight="1">
      <c r="B103" s="62"/>
      <c r="C103" s="56"/>
      <c r="D103" s="56"/>
    </row>
    <row r="104" spans="2:4" s="55" customFormat="1" ht="19.5" customHeight="1">
      <c r="B104" s="62"/>
      <c r="C104" s="56"/>
      <c r="D104" s="56"/>
    </row>
    <row r="105" spans="2:4" s="55" customFormat="1" ht="19.5" customHeight="1">
      <c r="B105" s="62"/>
      <c r="C105" s="56"/>
      <c r="D105" s="56"/>
    </row>
    <row r="106" spans="2:4" s="55" customFormat="1" ht="19.5" customHeight="1">
      <c r="B106" s="62"/>
      <c r="C106" s="56"/>
      <c r="D106" s="56"/>
    </row>
    <row r="107" spans="2:4" s="55" customFormat="1" ht="19.5" customHeight="1">
      <c r="B107" s="62"/>
      <c r="C107" s="56"/>
      <c r="D107" s="56"/>
    </row>
    <row r="108" spans="2:4" s="55" customFormat="1" ht="19.5" customHeight="1">
      <c r="B108" s="62"/>
      <c r="C108" s="56"/>
      <c r="D108" s="56"/>
    </row>
    <row r="109" spans="2:4" s="55" customFormat="1" ht="19.5" customHeight="1">
      <c r="B109" s="62"/>
      <c r="C109" s="56"/>
      <c r="D109" s="56"/>
    </row>
    <row r="110" spans="2:4" s="55" customFormat="1" ht="19.5" customHeight="1">
      <c r="B110" s="62"/>
      <c r="C110" s="56"/>
      <c r="D110" s="56"/>
    </row>
    <row r="111" spans="2:4" s="55" customFormat="1" ht="19.5" customHeight="1">
      <c r="B111" s="62"/>
      <c r="C111" s="56"/>
      <c r="D111" s="56"/>
    </row>
    <row r="112" spans="2:4" s="55" customFormat="1" ht="19.5" customHeight="1">
      <c r="B112" s="62"/>
      <c r="C112" s="56"/>
      <c r="D112" s="56"/>
    </row>
    <row r="113" spans="2:4" s="55" customFormat="1" ht="19.5" customHeight="1">
      <c r="B113" s="62"/>
      <c r="C113" s="56"/>
      <c r="D113" s="56"/>
    </row>
    <row r="114" spans="2:4" s="55" customFormat="1" ht="19.5" customHeight="1">
      <c r="B114" s="62"/>
      <c r="C114" s="56"/>
      <c r="D114" s="56"/>
    </row>
    <row r="115" spans="2:4" s="55" customFormat="1" ht="21">
      <c r="B115" s="62"/>
      <c r="C115" s="56"/>
      <c r="D115" s="56"/>
    </row>
    <row r="116" spans="2:4" s="55" customFormat="1" ht="21">
      <c r="B116" s="62"/>
      <c r="C116" s="56"/>
      <c r="D116" s="56"/>
    </row>
    <row r="117" spans="2:4" s="55" customFormat="1" ht="21">
      <c r="B117" s="62"/>
      <c r="C117" s="56"/>
      <c r="D117" s="56"/>
    </row>
    <row r="118" spans="2:4" s="55" customFormat="1" ht="21">
      <c r="B118" s="62"/>
      <c r="C118" s="56"/>
      <c r="D118" s="56"/>
    </row>
    <row r="119" spans="2:4" s="55" customFormat="1" ht="21">
      <c r="B119" s="62"/>
      <c r="C119" s="56"/>
      <c r="D119" s="56"/>
    </row>
    <row r="120" spans="2:4" s="55" customFormat="1" ht="21">
      <c r="B120" s="62"/>
      <c r="C120" s="56"/>
      <c r="D120" s="56"/>
    </row>
    <row r="121" spans="2:4" s="55" customFormat="1" ht="21">
      <c r="B121" s="62"/>
      <c r="C121" s="56"/>
      <c r="D121" s="56"/>
    </row>
    <row r="122" spans="2:4" s="55" customFormat="1" ht="21">
      <c r="B122" s="62"/>
      <c r="C122" s="56"/>
      <c r="D122" s="56"/>
    </row>
    <row r="123" spans="2:4" s="55" customFormat="1" ht="21">
      <c r="B123" s="62"/>
      <c r="C123" s="56"/>
      <c r="D123" s="56"/>
    </row>
    <row r="124" spans="2:4" s="55" customFormat="1" ht="21">
      <c r="B124" s="62"/>
      <c r="C124" s="56"/>
      <c r="D124" s="56"/>
    </row>
    <row r="125" spans="2:4" s="55" customFormat="1" ht="21">
      <c r="B125" s="62"/>
      <c r="C125" s="56"/>
      <c r="D125" s="56"/>
    </row>
    <row r="126" spans="2:4" s="55" customFormat="1" ht="21">
      <c r="B126" s="62"/>
      <c r="C126" s="56"/>
      <c r="D126" s="56"/>
    </row>
    <row r="127" spans="2:4" s="55" customFormat="1" ht="21">
      <c r="B127" s="62"/>
      <c r="C127" s="56"/>
      <c r="D127" s="56"/>
    </row>
    <row r="128" spans="2:4" s="55" customFormat="1" ht="21">
      <c r="B128" s="62"/>
      <c r="C128" s="56"/>
      <c r="D128" s="56"/>
    </row>
    <row r="129" spans="2:4" s="55" customFormat="1" ht="21">
      <c r="B129" s="62"/>
      <c r="C129" s="56"/>
      <c r="D129" s="56"/>
    </row>
    <row r="130" spans="2:4" s="55" customFormat="1" ht="21">
      <c r="B130" s="62"/>
      <c r="C130" s="56"/>
      <c r="D130" s="56"/>
    </row>
    <row r="131" spans="2:4" s="55" customFormat="1" ht="21">
      <c r="B131" s="62"/>
      <c r="C131" s="56"/>
      <c r="D131" s="56"/>
    </row>
    <row r="132" spans="2:4" s="55" customFormat="1" ht="21">
      <c r="B132" s="62"/>
      <c r="C132" s="56"/>
      <c r="D132" s="56"/>
    </row>
    <row r="133" spans="2:4" s="55" customFormat="1" ht="21">
      <c r="B133" s="62"/>
      <c r="C133" s="56"/>
      <c r="D133" s="56"/>
    </row>
    <row r="134" spans="2:4" s="55" customFormat="1" ht="21">
      <c r="B134" s="62"/>
      <c r="C134" s="56"/>
      <c r="D134" s="56"/>
    </row>
    <row r="135" spans="2:4" s="55" customFormat="1" ht="21">
      <c r="B135" s="62"/>
      <c r="C135" s="56"/>
      <c r="D135" s="56"/>
    </row>
    <row r="136" spans="2:4" s="55" customFormat="1" ht="21">
      <c r="B136" s="62"/>
      <c r="C136" s="56"/>
      <c r="D136" s="56"/>
    </row>
    <row r="137" spans="2:4" s="55" customFormat="1" ht="21">
      <c r="B137" s="62"/>
      <c r="C137" s="56"/>
      <c r="D137" s="56"/>
    </row>
    <row r="138" spans="2:4" s="55" customFormat="1" ht="21">
      <c r="B138" s="62"/>
      <c r="C138" s="56"/>
      <c r="D138" s="56"/>
    </row>
    <row r="139" spans="2:4" s="55" customFormat="1" ht="21">
      <c r="B139" s="62"/>
      <c r="C139" s="56"/>
      <c r="D139" s="56"/>
    </row>
    <row r="140" spans="2:4" s="55" customFormat="1" ht="21">
      <c r="B140" s="62"/>
      <c r="C140" s="56"/>
      <c r="D140" s="56"/>
    </row>
  </sheetData>
  <sheetProtection/>
  <mergeCells count="1">
    <mergeCell ref="A1:E1"/>
  </mergeCells>
  <printOptions horizontalCentered="1"/>
  <pageMargins left="0.3937007874015748" right="0.3937007874015748" top="0.2362204724409449" bottom="0.1968503937007874" header="0" footer="0"/>
  <pageSetup fitToHeight="1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Agamar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Prix Weteranów</dc:title>
  <dc:subject/>
  <dc:creator>Marek Przybyłowicz</dc:creator>
  <cp:keywords/>
  <dc:description/>
  <cp:lastModifiedBy>Andrzej Wojtas</cp:lastModifiedBy>
  <cp:lastPrinted>2011-03-06T14:34:52Z</cp:lastPrinted>
  <dcterms:created xsi:type="dcterms:W3CDTF">2010-11-12T23:06:18Z</dcterms:created>
  <dcterms:modified xsi:type="dcterms:W3CDTF">2011-03-07T06:40:37Z</dcterms:modified>
  <cp:category/>
  <cp:version/>
  <cp:contentType/>
  <cp:contentStatus/>
</cp:coreProperties>
</file>